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EKRETARIAT\Ogłoszenia strona internetowa mec\TARYFA\Zmiana Trayfy od 01.07.2023 r\"/>
    </mc:Choice>
  </mc:AlternateContent>
  <xr:revisionPtr revIDLastSave="0" documentId="8_{D426980A-CCFC-4D7B-8B72-84B8F6F58C64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kalkulator opłat_ceny z rekomp." sheetId="12" r:id="rId1"/>
    <sheet name="kalkulator opłat_ceny Taryfowe" sheetId="1" r:id="rId2"/>
  </sheets>
  <externalReferences>
    <externalReference r:id="rId3"/>
  </externalReferences>
  <definedNames>
    <definedName name="Grupa_taryfowa" localSheetId="1">'kalkulator opłat_ceny Taryfowe'!#REF!</definedName>
    <definedName name="Grupa_taryfowa" localSheetId="0">'kalkulator opłat_ceny z rekomp.'!#REF!</definedName>
    <definedName name="Grupa_taryfowa">'[1]kalkulator opłat za ciepło'!#REF!</definedName>
    <definedName name="gt" localSheetId="1">'kalkulator opłat_ceny Taryfowe'!$F$38:$L$38</definedName>
    <definedName name="gt" localSheetId="0">'kalkulator opłat_ceny z rekomp.'!$F$38:$L$38</definedName>
    <definedName name="gt">'[1]kalkulator opłat za ciepło'!$F$33:$J$33</definedName>
    <definedName name="gw" localSheetId="1">'kalkulator opłat_ceny Taryfowe'!$F$38:$K$38</definedName>
    <definedName name="gw" localSheetId="0">'kalkulator opłat_ceny z rekomp.'!$F$38:$K$38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  <c r="H31" i="1" s="1"/>
  <c r="G23" i="1"/>
  <c r="H30" i="1" s="1"/>
  <c r="G22" i="1"/>
  <c r="H29" i="1"/>
  <c r="F29" i="1"/>
  <c r="G29" i="1"/>
  <c r="G25" i="1"/>
  <c r="E15" i="12"/>
  <c r="G15" i="12" s="1"/>
  <c r="N40" i="12"/>
  <c r="M40" i="12"/>
  <c r="L40" i="12"/>
  <c r="G39" i="12"/>
  <c r="F40" i="12"/>
  <c r="F39" i="12"/>
  <c r="G31" i="1" l="1"/>
  <c r="G30" i="1"/>
  <c r="N40" i="1"/>
  <c r="N39" i="1"/>
  <c r="M40" i="1"/>
  <c r="M39" i="1"/>
  <c r="L40" i="1"/>
  <c r="L39" i="1"/>
  <c r="K40" i="1"/>
  <c r="K39" i="1"/>
  <c r="J40" i="1"/>
  <c r="J39" i="1"/>
  <c r="I40" i="1"/>
  <c r="I39" i="1"/>
  <c r="H40" i="1"/>
  <c r="H39" i="1"/>
  <c r="G40" i="1"/>
  <c r="G39" i="1"/>
  <c r="F40" i="1"/>
  <c r="F39" i="1"/>
  <c r="N47" i="1" l="1"/>
  <c r="M47" i="1"/>
  <c r="L47" i="1"/>
  <c r="K47" i="1"/>
  <c r="J47" i="1"/>
  <c r="I47" i="1"/>
  <c r="H47" i="1"/>
  <c r="G47" i="1"/>
  <c r="F47" i="1"/>
  <c r="N46" i="1"/>
  <c r="M46" i="1"/>
  <c r="L46" i="1"/>
  <c r="K46" i="1"/>
  <c r="J46" i="1"/>
  <c r="I46" i="1"/>
  <c r="H46" i="1"/>
  <c r="G46" i="1"/>
  <c r="F46" i="1"/>
  <c r="N47" i="12"/>
  <c r="N46" i="12"/>
  <c r="M47" i="12"/>
  <c r="M46" i="12"/>
  <c r="L47" i="12"/>
  <c r="L46" i="12"/>
  <c r="K47" i="12"/>
  <c r="K46" i="12"/>
  <c r="J47" i="12"/>
  <c r="K39" i="12"/>
  <c r="J46" i="12"/>
  <c r="I47" i="12"/>
  <c r="I46" i="12"/>
  <c r="H47" i="12"/>
  <c r="H46" i="12"/>
  <c r="G47" i="12"/>
  <c r="G46" i="12"/>
  <c r="F47" i="12"/>
  <c r="F46" i="12"/>
  <c r="G40" i="12"/>
  <c r="E22" i="12"/>
  <c r="N39" i="12"/>
  <c r="M39" i="12"/>
  <c r="L39" i="12"/>
  <c r="K40" i="12"/>
  <c r="J40" i="12"/>
  <c r="I40" i="12"/>
  <c r="J39" i="12"/>
  <c r="I39" i="12"/>
  <c r="H40" i="12"/>
  <c r="H39" i="12"/>
  <c r="E17" i="12"/>
  <c r="G17" i="12" s="1"/>
  <c r="O40" i="1"/>
  <c r="G22" i="12" l="1"/>
  <c r="F29" i="12"/>
  <c r="E24" i="12"/>
  <c r="E23" i="12"/>
  <c r="G23" i="12" s="1"/>
  <c r="E29" i="12"/>
  <c r="E31" i="12" l="1"/>
  <c r="G24" i="12"/>
  <c r="G25" i="12" s="1"/>
  <c r="H29" i="12"/>
  <c r="G29" i="12"/>
  <c r="E25" i="12"/>
  <c r="F31" i="12"/>
  <c r="E16" i="12"/>
  <c r="G16" i="12" s="1"/>
  <c r="G18" i="12" s="1"/>
  <c r="E15" i="1"/>
  <c r="G15" i="1" s="1"/>
  <c r="H30" i="12" l="1"/>
  <c r="G31" i="12"/>
  <c r="H31" i="12"/>
  <c r="G30" i="12"/>
  <c r="E30" i="12"/>
  <c r="E18" i="12"/>
  <c r="F30" i="12"/>
  <c r="E16" i="1"/>
  <c r="G16" i="1" s="1"/>
  <c r="E22" i="1"/>
  <c r="E29" i="1" l="1"/>
  <c r="E23" i="1"/>
  <c r="E30" i="1" l="1"/>
  <c r="F30" i="1"/>
  <c r="E24" i="1" l="1"/>
  <c r="E25" i="1" l="1"/>
  <c r="E17" i="1" l="1"/>
  <c r="G17" i="1" s="1"/>
  <c r="G18" i="1" s="1"/>
  <c r="E31" i="1" l="1"/>
  <c r="F31" i="1"/>
  <c r="E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marekkrol</author>
  </authors>
  <commentList>
    <comment ref="D8" authorId="0" shapeId="0" xr:uid="{47FCDA5D-53E3-4ABD-AC5E-B81984179A5A}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wybrać z zamieszczonej w polu obok rozwijanej listy symbol grupy taryfowej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Symbol ten znajduje się w umowie sprzedaży ciepła oraz na każdej fakturze za ciepło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" authorId="0" shapeId="0" xr:uid="{784DC0C2-0794-4922-B727-22A028FBE562}">
      <text>
        <r>
          <rPr>
            <b/>
            <i/>
            <sz val="9"/>
            <color indexed="81"/>
            <rFont val="Tahoma"/>
            <family val="2"/>
            <charset val="238"/>
          </rPr>
          <t>Proszę wpisać w polu obok wielkość zamówionej mocy cieplnej na cele c.o. (centralnego ogrzewania) lub na cele c.o. i c.w.u. (ciepłej wody użytkowej) dla obiektu.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0" authorId="0" shapeId="0" xr:uid="{5D3500D6-A70F-426F-861A-75D36B96608B}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zsumowane zużycie ciepła na cele c.o. lub c.o.+ c.w.u. z okresu 12 miesięcy (01.05.2020 - 30.04.2021)
</t>
        </r>
        <r>
          <rPr>
            <i/>
            <sz val="9"/>
            <color indexed="81"/>
            <rFont val="Tahoma"/>
            <family val="2"/>
            <charset val="238"/>
          </rPr>
          <t>Informacje dotyczące zużycia ciepła znajdują się na miesięcznych fakturach za ciepło wystawionych w ww okresie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marekkrol</author>
  </authors>
  <commentList>
    <comment ref="D8" authorId="0" shapeId="0" xr:uid="{00000000-0006-0000-0000-000001000000}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wybrać z zamieszczonej w polu obok rozwijanej listy symbol grupy taryfowej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Symbol ten znajduje się w umowie sprzedaży ciepła oraz na każdej fakturze za ciepło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" authorId="0" shapeId="0" xr:uid="{00000000-0006-0000-0000-000002000000}">
      <text>
        <r>
          <rPr>
            <b/>
            <i/>
            <sz val="9"/>
            <color indexed="81"/>
            <rFont val="Tahoma"/>
            <family val="2"/>
            <charset val="238"/>
          </rPr>
          <t>Proszę wpisać w polu obok wielkość zamówionej mocy cieplnej na cele c.o. (centralnego ogrzewania) lub na cele c.o. i c.w.u. (ciepłej wody użytkowej) dla obiektu.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0" authorId="0" shapeId="0" xr:uid="{00000000-0006-0000-0000-000003000000}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zsumowane zużycie ciepła na cele c.o. lub c.o.+ c.w.u. z okresu 12 miesięcy (01.05.2020 - 30.04.2021)
</t>
        </r>
        <r>
          <rPr>
            <i/>
            <sz val="9"/>
            <color indexed="81"/>
            <rFont val="Tahoma"/>
            <family val="2"/>
            <charset val="238"/>
          </rPr>
          <t>Informacje dotyczące zużycia ciepła znajdują się na miesięcznych fakturach za ciepło wystawionych w ww okresie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<sst xmlns="http://schemas.openxmlformats.org/spreadsheetml/2006/main" count="162" uniqueCount="44">
  <si>
    <t>KALKULATOR ROCZNYCH OPŁAT ZA CIEPŁO</t>
  </si>
  <si>
    <t>UWAGA! Proszę wypełnić danymi tylko żółte pola</t>
  </si>
  <si>
    <t>DANE DOTYCZĄCE OBIEKTU ODBIORCY</t>
  </si>
  <si>
    <t>Grupa taryfowa obiektu</t>
  </si>
  <si>
    <t>A1</t>
  </si>
  <si>
    <t xml:space="preserve">Moc na cele c.o.  lub c.o. + c.w.u. </t>
  </si>
  <si>
    <t>MW</t>
  </si>
  <si>
    <t>GJ</t>
  </si>
  <si>
    <t>zł/rok</t>
  </si>
  <si>
    <t>zł/m-c</t>
  </si>
  <si>
    <t>Opłata za ciepło i przesył ciepła - opłaty zmienne</t>
  </si>
  <si>
    <t>zł/GJ</t>
  </si>
  <si>
    <t>Opłaty roczne razem</t>
  </si>
  <si>
    <t>zł</t>
  </si>
  <si>
    <t>%</t>
  </si>
  <si>
    <t>Grupa taryfowa</t>
  </si>
  <si>
    <t>j.m</t>
  </si>
  <si>
    <t>A2</t>
  </si>
  <si>
    <t>A3</t>
  </si>
  <si>
    <t>B1</t>
  </si>
  <si>
    <t>B2</t>
  </si>
  <si>
    <t>B3</t>
  </si>
  <si>
    <t>C1</t>
  </si>
  <si>
    <t>C2</t>
  </si>
  <si>
    <t>C3</t>
  </si>
  <si>
    <t>D</t>
  </si>
  <si>
    <t>ciepło + przesył ciepła</t>
  </si>
  <si>
    <t>moc + przesył mocy</t>
  </si>
  <si>
    <t>Opłata za zamówioną moc
i przesył mocy na cele c.o. lub c.o. + c.w.u. - opłaty stałe</t>
  </si>
  <si>
    <r>
      <rPr>
        <b/>
        <i/>
        <sz val="11"/>
        <rFont val="Times New Roman"/>
        <family val="1"/>
        <charset val="238"/>
      </rPr>
      <t>UWAGA!</t>
    </r>
    <r>
      <rPr>
        <i/>
        <sz val="11"/>
        <rFont val="Times New Roman"/>
        <family val="1"/>
        <charset val="238"/>
      </rPr>
      <t xml:space="preserve">
Wszystkie ceny uwidocznione w powyższych wyliczeniach są cenami netto.
Powyższe porównanie nie obejmuje opłat z tytułu abonamentu.
Aby wyliczenia były miarodajne, w kalkulatorze należy podać cztery informacje:
       a. oznaczenie grupy taryfowej obiektu którego dotyczą wyliczenia,
       b. wielkość zamówionej mocy na cele c.o.
       c. wielkość zamówionej mocy na cele c.w.u.
       d. sumaryczne roczne zużycie ciepła
Informacje a-c znajdziecie Państwo na każdej fakturze za ciepło, natomiast dla uzyskania danych o których mowa w pkt. d, należy zsumować ilość zużytego ciepła [GJ] z faktur za ciepło z okresu 1 roku.</t>
    </r>
  </si>
  <si>
    <t>zł/MW/m-c</t>
  </si>
  <si>
    <t>L.p</t>
  </si>
  <si>
    <t>Wyszczegolnienie</t>
  </si>
  <si>
    <t>jedn.</t>
  </si>
  <si>
    <t>netto</t>
  </si>
  <si>
    <t>Zużycie ciepła za okres 12 m-cy
na cele c.o., c.w.u. lub c.o. + c.w.u.</t>
  </si>
  <si>
    <t>Opłaty za m-c razem</t>
  </si>
  <si>
    <t>Wzrost (+) lub spadek (-) netto</t>
  </si>
  <si>
    <t>Wzrost (+) lub spadek (-) brutto</t>
  </si>
  <si>
    <t xml:space="preserve">Ceny i stawki opłat obowiązujące w okresie od 01.07.2023 r.  </t>
  </si>
  <si>
    <t>Ceny i stawki opłat obowiązujące w okresie 01.02.2023 - 30.06.2023 r.</t>
  </si>
  <si>
    <t>Opłaty wg taryfy obowiązującej od 01.07.2023 r.</t>
  </si>
  <si>
    <t>Opłaty wg taryfy obowiązującej od 01.02.2023 r. do 30.06.2023 r.</t>
  </si>
  <si>
    <t>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</si>
</sst>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_-* #,##0.00\ _z_ł_-;\-* #,##0.00\ _z_ł_-;_-* &quot;-&quot;??\ _z_ł_-;_-@_-"/>
  </numFmts>
  <fonts count="31" x14ac:knownFonts="1">
    <font>
      <sz val="10"/>
      <name val="Times New Roman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6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i/>
      <u/>
      <sz val="11"/>
      <color rgb="FF002060"/>
      <name val="Times New Roman"/>
      <family val="1"/>
      <charset val="238"/>
    </font>
    <font>
      <b/>
      <i/>
      <u/>
      <sz val="11"/>
      <color rgb="FF00206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color rgb="FF00206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theme="3" tint="-0.49998474074526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i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theme="3" tint="-0.499984740745262"/>
      <name val="Times New Roman"/>
      <family val="1"/>
      <charset val="238"/>
    </font>
    <font>
      <b/>
      <i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2" fontId="18" fillId="0" borderId="4" xfId="0" applyNumberFormat="1" applyFont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4" fontId="18" fillId="0" borderId="4" xfId="2" applyNumberFormat="1" applyFont="1" applyBorder="1" applyAlignment="1">
      <alignment horizontal="center" vertical="center"/>
    </xf>
    <xf numFmtId="4" fontId="3" fillId="0" borderId="4" xfId="2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9" fontId="0" fillId="0" borderId="0" xfId="3" applyFont="1"/>
    <xf numFmtId="9" fontId="2" fillId="0" borderId="0" xfId="3" applyFont="1"/>
    <xf numFmtId="10" fontId="0" fillId="0" borderId="0" xfId="0" applyNumberFormat="1"/>
    <xf numFmtId="10" fontId="2" fillId="0" borderId="0" xfId="3" applyNumberFormat="1" applyFont="1" applyAlignment="1">
      <alignment horizontal="center"/>
    </xf>
    <xf numFmtId="10" fontId="0" fillId="0" borderId="0" xfId="3" applyNumberFormat="1" applyFont="1"/>
    <xf numFmtId="10" fontId="3" fillId="0" borderId="0" xfId="3" applyNumberFormat="1" applyFont="1"/>
    <xf numFmtId="10" fontId="2" fillId="0" borderId="0" xfId="3" applyNumberFormat="1" applyFont="1"/>
    <xf numFmtId="10" fontId="2" fillId="0" borderId="0" xfId="0" applyNumberFormat="1" applyFont="1" applyAlignment="1">
      <alignment horizontal="center"/>
    </xf>
    <xf numFmtId="10" fontId="3" fillId="0" borderId="0" xfId="0" applyNumberFormat="1" applyFont="1"/>
    <xf numFmtId="10" fontId="2" fillId="0" borderId="0" xfId="0" applyNumberFormat="1" applyFont="1"/>
    <xf numFmtId="164" fontId="0" fillId="0" borderId="0" xfId="1" applyFont="1"/>
    <xf numFmtId="0" fontId="7" fillId="0" borderId="0" xfId="0" applyFont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/>
    </xf>
    <xf numFmtId="9" fontId="14" fillId="5" borderId="8" xfId="0" applyNumberFormat="1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 wrapText="1"/>
    </xf>
    <xf numFmtId="164" fontId="15" fillId="0" borderId="8" xfId="1" applyFont="1" applyBorder="1" applyAlignment="1">
      <alignment horizontal="right" vertical="center"/>
    </xf>
    <xf numFmtId="0" fontId="27" fillId="0" borderId="0" xfId="0" applyFont="1" applyAlignment="1">
      <alignment horizontal="right"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64" fontId="13" fillId="0" borderId="4" xfId="1" applyFont="1" applyFill="1" applyBorder="1" applyAlignment="1">
      <alignment horizontal="center" vertical="center"/>
    </xf>
    <xf numFmtId="164" fontId="13" fillId="0" borderId="9" xfId="1" applyFont="1" applyFill="1" applyBorder="1" applyAlignment="1">
      <alignment horizontal="center" vertical="center"/>
    </xf>
    <xf numFmtId="164" fontId="13" fillId="0" borderId="13" xfId="1" applyFont="1" applyFill="1" applyBorder="1" applyAlignment="1">
      <alignment horizontal="center" vertical="center"/>
    </xf>
    <xf numFmtId="164" fontId="13" fillId="0" borderId="12" xfId="1" applyFont="1" applyFill="1" applyBorder="1" applyAlignment="1">
      <alignment horizontal="center" vertical="center"/>
    </xf>
    <xf numFmtId="0" fontId="11" fillId="3" borderId="5" xfId="1" applyNumberFormat="1" applyFont="1" applyFill="1" applyBorder="1" applyAlignment="1">
      <alignment horizontal="center" vertical="center"/>
    </xf>
    <xf numFmtId="0" fontId="11" fillId="3" borderId="2" xfId="1" applyNumberFormat="1" applyFont="1" applyFill="1" applyBorder="1" applyAlignment="1">
      <alignment horizontal="center" vertical="center"/>
    </xf>
    <xf numFmtId="44" fontId="13" fillId="0" borderId="4" xfId="4" applyFont="1" applyBorder="1" applyAlignment="1">
      <alignment horizontal="center" vertical="center"/>
    </xf>
    <xf numFmtId="44" fontId="15" fillId="0" borderId="4" xfId="4" applyFont="1" applyBorder="1" applyAlignment="1">
      <alignment horizontal="center" vertical="center"/>
    </xf>
    <xf numFmtId="0" fontId="11" fillId="5" borderId="6" xfId="0" applyFont="1" applyFill="1" applyBorder="1" applyAlignment="1">
      <alignment horizontal="center" vertical="center"/>
    </xf>
    <xf numFmtId="0" fontId="11" fillId="5" borderId="8" xfId="0" applyFont="1" applyFill="1" applyBorder="1" applyAlignment="1">
      <alignment horizontal="center" vertical="center"/>
    </xf>
    <xf numFmtId="10" fontId="13" fillId="0" borderId="6" xfId="3" applyNumberFormat="1" applyFont="1" applyFill="1" applyBorder="1" applyAlignment="1">
      <alignment horizontal="center" vertical="center"/>
    </xf>
    <xf numFmtId="10" fontId="13" fillId="0" borderId="16" xfId="3" applyNumberFormat="1" applyFont="1" applyFill="1" applyBorder="1" applyAlignment="1">
      <alignment horizontal="center" vertical="center"/>
    </xf>
    <xf numFmtId="10" fontId="13" fillId="0" borderId="8" xfId="3" applyNumberFormat="1" applyFont="1" applyFill="1" applyBorder="1" applyAlignment="1">
      <alignment horizontal="center" vertical="center"/>
    </xf>
    <xf numFmtId="10" fontId="13" fillId="0" borderId="14" xfId="3" applyNumberFormat="1" applyFont="1" applyFill="1" applyBorder="1" applyAlignment="1">
      <alignment horizontal="center" vertical="center"/>
    </xf>
    <xf numFmtId="164" fontId="13" fillId="0" borderId="0" xfId="0" applyNumberFormat="1" applyFont="1" applyAlignment="1">
      <alignment vertical="center"/>
    </xf>
    <xf numFmtId="44" fontId="13" fillId="0" borderId="4" xfId="4" applyFont="1" applyFill="1" applyBorder="1" applyAlignment="1">
      <alignment horizontal="center" vertical="center"/>
    </xf>
    <xf numFmtId="44" fontId="13" fillId="0" borderId="13" xfId="4" applyFont="1" applyFill="1" applyBorder="1" applyAlignment="1">
      <alignment horizontal="center" vertical="center"/>
    </xf>
    <xf numFmtId="10" fontId="15" fillId="0" borderId="0" xfId="3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64" fontId="28" fillId="0" borderId="0" xfId="1" applyFont="1" applyFill="1" applyBorder="1" applyAlignment="1">
      <alignment horizontal="center" vertical="center"/>
    </xf>
    <xf numFmtId="10" fontId="28" fillId="0" borderId="0" xfId="3" applyNumberFormat="1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 wrapText="1"/>
    </xf>
    <xf numFmtId="10" fontId="30" fillId="0" borderId="0" xfId="3" applyNumberFormat="1" applyFont="1" applyAlignment="1">
      <alignment horizontal="center"/>
    </xf>
    <xf numFmtId="10" fontId="30" fillId="0" borderId="0" xfId="3" applyNumberFormat="1" applyFont="1"/>
    <xf numFmtId="10" fontId="30" fillId="0" borderId="0" xfId="0" applyNumberFormat="1" applyFont="1"/>
    <xf numFmtId="10" fontId="30" fillId="0" borderId="0" xfId="0" applyNumberFormat="1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26" fillId="5" borderId="10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4" xfId="0" applyFont="1" applyFill="1" applyBorder="1" applyAlignment="1">
      <alignment horizontal="center" vertical="center" wrapText="1"/>
    </xf>
    <xf numFmtId="4" fontId="11" fillId="5" borderId="7" xfId="0" applyNumberFormat="1" applyFont="1" applyFill="1" applyBorder="1" applyAlignment="1">
      <alignment horizontal="center" vertical="center"/>
    </xf>
    <xf numFmtId="4" fontId="11" fillId="5" borderId="15" xfId="0" applyNumberFormat="1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4" fontId="11" fillId="5" borderId="10" xfId="0" applyNumberFormat="1" applyFont="1" applyFill="1" applyBorder="1" applyAlignment="1">
      <alignment horizontal="center" vertical="center"/>
    </xf>
    <xf numFmtId="4" fontId="11" fillId="5" borderId="1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64" fontId="15" fillId="0" borderId="0" xfId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4" fontId="29" fillId="0" borderId="0" xfId="0" applyNumberFormat="1" applyFont="1" applyFill="1" applyAlignment="1">
      <alignment horizontal="center" vertical="center"/>
    </xf>
    <xf numFmtId="9" fontId="14" fillId="0" borderId="0" xfId="0" applyNumberFormat="1" applyFont="1" applyFill="1" applyBorder="1" applyAlignment="1">
      <alignment horizontal="center" vertical="center" wrapText="1"/>
    </xf>
    <xf numFmtId="0" fontId="27" fillId="6" borderId="17" xfId="0" applyFont="1" applyFill="1" applyBorder="1" applyAlignment="1">
      <alignment horizontal="right" vertical="center"/>
    </xf>
    <xf numFmtId="44" fontId="27" fillId="6" borderId="18" xfId="4" applyFont="1" applyFill="1" applyBorder="1" applyAlignment="1">
      <alignment horizontal="right" vertical="center"/>
    </xf>
    <xf numFmtId="44" fontId="27" fillId="6" borderId="19" xfId="4" applyFont="1" applyFill="1" applyBorder="1" applyAlignment="1">
      <alignment horizontal="right" vertical="center"/>
    </xf>
    <xf numFmtId="0" fontId="14" fillId="5" borderId="10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11" xfId="0" applyFont="1" applyFill="1" applyBorder="1" applyAlignment="1">
      <alignment horizontal="center" vertical="center" wrapText="1"/>
    </xf>
    <xf numFmtId="0" fontId="14" fillId="5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4" fontId="13" fillId="0" borderId="13" xfId="4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64" fontId="15" fillId="0" borderId="14" xfId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4" fontId="29" fillId="0" borderId="0" xfId="0" applyNumberFormat="1" applyFont="1" applyFill="1" applyBorder="1" applyAlignment="1">
      <alignment horizontal="center" vertical="center"/>
    </xf>
    <xf numFmtId="10" fontId="13" fillId="0" borderId="4" xfId="3" applyNumberFormat="1" applyFont="1" applyFill="1" applyBorder="1" applyAlignment="1">
      <alignment horizontal="center" vertical="center"/>
    </xf>
    <xf numFmtId="10" fontId="13" fillId="0" borderId="13" xfId="3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0" fontId="13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 wrapText="1"/>
    </xf>
    <xf numFmtId="44" fontId="29" fillId="0" borderId="0" xfId="4" applyFont="1" applyFill="1" applyAlignment="1">
      <alignment horizontal="center" vertical="center"/>
    </xf>
  </cellXfs>
  <cellStyles count="5">
    <cellStyle name="Dziesiętny" xfId="1" builtinId="3"/>
    <cellStyle name="Normalny" xfId="0" builtinId="0"/>
    <cellStyle name="Normalny_Zużycie z mocy" xfId="2" xr:uid="{00000000-0005-0000-0000-000002000000}"/>
    <cellStyle name="Procentowy" xfId="3" builtinId="5"/>
    <cellStyle name="Walutowy" xfId="4" builtinId="4"/>
  </cellStyles>
  <dxfs count="0"/>
  <tableStyles count="0" defaultTableStyle="TableStyleMedium2" defaultPivotStyle="PivotStyleLight16"/>
  <colors>
    <mruColors>
      <color rgb="FFD4F8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112060</xdr:colOff>
      <xdr:row>0</xdr:row>
      <xdr:rowOff>70037</xdr:rowOff>
    </xdr:from>
    <xdr:to>
      <xdr:col>10</xdr:col>
      <xdr:colOff>308163</xdr:colOff>
      <xdr:row>34</xdr:row>
      <xdr:rowOff>152400</xdr:rowOff>
    </xdr:to>
    <xdr:sp macro="" textlink="">
      <xdr:nvSpPr>
        <xdr:cNvPr id="2" name="Prostokąt zaokrąglony 1">
          <a:extLst>
            <a:ext uri="{FF2B5EF4-FFF2-40B4-BE49-F238E27FC236}">
              <a16:creationId xmlns:a16="http://schemas.microsoft.com/office/drawing/2014/main" id="{7FC8B623-D4B6-4ED4-99D7-2D109607685F}"/>
            </a:ext>
          </a:extLst>
        </xdr:cNvPr>
        <xdr:cNvSpPr/>
      </xdr:nvSpPr>
      <xdr:spPr>
        <a:xfrm>
          <a:off x="645460" y="70037"/>
          <a:ext cx="14550278" cy="12693463"/>
        </a:xfrm>
        <a:prstGeom prst="roundRect">
          <a:avLst>
            <a:gd name="adj" fmla="val 75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112060</xdr:colOff>
      <xdr:row>0</xdr:row>
      <xdr:rowOff>70037</xdr:rowOff>
    </xdr:from>
    <xdr:to>
      <xdr:col>10</xdr:col>
      <xdr:colOff>308163</xdr:colOff>
      <xdr:row>34</xdr:row>
      <xdr:rowOff>152400</xdr:rowOff>
    </xdr:to>
    <xdr:sp macro="" textlink="">
      <xdr:nvSpPr>
        <xdr:cNvPr id="2" name="Prostokąt zaokrąglony 1">
          <a:extLst>
            <a:ext uri="{FF2B5EF4-FFF2-40B4-BE49-F238E27FC236}">
              <a16:creationId xmlns:a16="http://schemas.microsoft.com/office/drawing/2014/main" id="{07A68F18-6FD5-437F-8CBD-93407E84EBF1}"/>
            </a:ext>
          </a:extLst>
        </xdr:cNvPr>
        <xdr:cNvSpPr/>
      </xdr:nvSpPr>
      <xdr:spPr>
        <a:xfrm>
          <a:off x="645460" y="70037"/>
          <a:ext cx="9454403" cy="7638863"/>
        </a:xfrm>
        <a:prstGeom prst="roundRect">
          <a:avLst>
            <a:gd name="adj" fmla="val 75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ia\AppData\Local\Packages\Microsoft.MicrosoftEdge_8wekyb3d8bbwe\TempState\Downloads\ko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lkulator opłat za ciepło"/>
      <sheetName val="kalkulator opłat za ciepło (2)"/>
      <sheetName val="Arkusz1"/>
    </sheetNames>
    <sheetDataSet>
      <sheetData sheetId="0">
        <row r="33">
          <cell r="F33" t="str">
            <v>G-w</v>
          </cell>
          <cell r="G33" t="str">
            <v>G-z</v>
          </cell>
          <cell r="H33" t="str">
            <v>I-w</v>
          </cell>
          <cell r="I33" t="str">
            <v>O-n</v>
          </cell>
          <cell r="J33" t="str">
            <v>O-p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8B525-BF07-4EA4-8859-EAE182E7AC6D}">
  <sheetPr>
    <pageSetUpPr fitToPage="1"/>
  </sheetPr>
  <dimension ref="C1:AR704"/>
  <sheetViews>
    <sheetView showGridLines="0" zoomScale="75" zoomScaleNormal="75" workbookViewId="0">
      <selection activeCell="H57" sqref="H57"/>
    </sheetView>
  </sheetViews>
  <sheetFormatPr defaultRowHeight="15.75" x14ac:dyDescent="0.25"/>
  <cols>
    <col min="3" max="3" width="9.5" customWidth="1"/>
    <col min="4" max="4" width="55.1640625" customWidth="1"/>
    <col min="5" max="5" width="30.83203125" customWidth="1"/>
    <col min="6" max="6" width="28.5" style="1" bestFit="1" customWidth="1"/>
    <col min="7" max="7" width="30.6640625" style="1" customWidth="1"/>
    <col min="8" max="8" width="28.33203125" style="1" customWidth="1"/>
    <col min="9" max="9" width="30.1640625" customWidth="1"/>
    <col min="10" max="10" width="28.83203125" style="2" customWidth="1"/>
    <col min="11" max="11" width="13" bestFit="1" customWidth="1"/>
    <col min="12" max="12" width="12.6640625" style="3" customWidth="1"/>
    <col min="13" max="13" width="11.5" customWidth="1"/>
    <col min="14" max="14" width="13" style="3" bestFit="1" customWidth="1"/>
    <col min="15" max="15" width="11.5" customWidth="1"/>
    <col min="16" max="16" width="15.5" customWidth="1"/>
    <col min="17" max="17" width="8.6640625" customWidth="1"/>
    <col min="18" max="18" width="8.1640625" customWidth="1"/>
    <col min="19" max="19" width="8.5" customWidth="1"/>
    <col min="21" max="21" width="7.6640625" customWidth="1"/>
    <col min="22" max="22" width="12.83203125" customWidth="1"/>
    <col min="23" max="25" width="10.83203125" customWidth="1"/>
    <col min="26" max="27" width="9.33203125" customWidth="1"/>
    <col min="28" max="32" width="10.83203125" customWidth="1"/>
    <col min="33" max="34" width="9.33203125" customWidth="1"/>
    <col min="35" max="35" width="5.83203125" customWidth="1"/>
    <col min="36" max="36" width="10.83203125" customWidth="1"/>
    <col min="37" max="37" width="11.1640625" customWidth="1"/>
    <col min="38" max="40" width="12.83203125" customWidth="1"/>
    <col min="41" max="41" width="14.83203125" customWidth="1"/>
    <col min="42" max="42" width="8.83203125" customWidth="1"/>
    <col min="43" max="43" width="10.83203125" customWidth="1"/>
    <col min="44" max="44" width="10.83203125" style="4" customWidth="1"/>
    <col min="45" max="50" width="10.83203125" customWidth="1"/>
    <col min="51" max="52" width="12.83203125" customWidth="1"/>
    <col min="53" max="54" width="10.83203125" customWidth="1"/>
    <col min="55" max="86" width="9.33203125" customWidth="1"/>
  </cols>
  <sheetData>
    <row r="1" spans="3:14" ht="16.5" thickBot="1" x14ac:dyDescent="0.3"/>
    <row r="2" spans="3:14" ht="21" thickBot="1" x14ac:dyDescent="0.35">
      <c r="C2" s="85" t="s">
        <v>0</v>
      </c>
      <c r="D2" s="86"/>
      <c r="E2" s="86"/>
      <c r="F2" s="86"/>
      <c r="G2" s="86"/>
      <c r="H2" s="86"/>
      <c r="I2" s="86"/>
      <c r="J2" s="87"/>
    </row>
    <row r="4" spans="3:14" ht="18.75" x14ac:dyDescent="0.3">
      <c r="C4" s="88" t="s">
        <v>1</v>
      </c>
      <c r="D4" s="88"/>
      <c r="E4" s="88"/>
      <c r="F4" s="88"/>
      <c r="G4" s="88"/>
      <c r="H4" s="88"/>
      <c r="I4" s="88"/>
      <c r="J4" s="88"/>
    </row>
    <row r="6" spans="3:14" x14ac:dyDescent="0.25">
      <c r="C6" s="89" t="s">
        <v>2</v>
      </c>
      <c r="D6" s="89"/>
      <c r="E6" s="89"/>
      <c r="F6" s="89"/>
      <c r="G6" s="42"/>
      <c r="H6" s="42"/>
    </row>
    <row r="7" spans="3:14" x14ac:dyDescent="0.25">
      <c r="C7" s="5"/>
      <c r="D7" s="5"/>
      <c r="E7" s="5"/>
      <c r="F7" s="5"/>
      <c r="G7" s="5"/>
      <c r="H7" s="5"/>
    </row>
    <row r="8" spans="3:14" ht="19.5" customHeight="1" x14ac:dyDescent="0.25">
      <c r="C8" s="6">
        <v>1</v>
      </c>
      <c r="D8" s="7" t="s">
        <v>3</v>
      </c>
      <c r="E8" s="8" t="s">
        <v>22</v>
      </c>
      <c r="F8" s="9"/>
      <c r="G8" s="9"/>
      <c r="H8" s="9"/>
    </row>
    <row r="9" spans="3:14" ht="20.25" customHeight="1" thickBot="1" x14ac:dyDescent="0.3">
      <c r="C9" s="6">
        <v>2</v>
      </c>
      <c r="D9" s="7" t="s">
        <v>5</v>
      </c>
      <c r="E9" s="62">
        <v>2.3600000000000001E-3</v>
      </c>
      <c r="F9" s="10" t="s">
        <v>6</v>
      </c>
      <c r="G9" s="18"/>
      <c r="H9" s="18"/>
    </row>
    <row r="10" spans="3:14" ht="38.25" customHeight="1" thickBot="1" x14ac:dyDescent="0.3">
      <c r="C10" s="6">
        <v>3</v>
      </c>
      <c r="D10" s="11" t="s">
        <v>35</v>
      </c>
      <c r="E10" s="63">
        <v>1.1075999999999999</v>
      </c>
      <c r="F10" s="10" t="s">
        <v>7</v>
      </c>
      <c r="G10" s="18"/>
      <c r="H10" s="18"/>
    </row>
    <row r="11" spans="3:14" x14ac:dyDescent="0.25">
      <c r="L11" s="32"/>
      <c r="M11" s="31"/>
      <c r="N11" s="32"/>
    </row>
    <row r="12" spans="3:14" ht="16.5" thickBot="1" x14ac:dyDescent="0.3"/>
    <row r="13" spans="3:14" ht="21" customHeight="1" thickTop="1" x14ac:dyDescent="0.25">
      <c r="C13" s="113" t="s">
        <v>42</v>
      </c>
      <c r="D13" s="114"/>
      <c r="E13" s="114"/>
      <c r="F13" s="114"/>
      <c r="G13" s="115"/>
      <c r="H13" s="107"/>
      <c r="I13" s="104"/>
      <c r="J13" s="90"/>
    </row>
    <row r="14" spans="3:14" ht="21" customHeight="1" x14ac:dyDescent="0.25">
      <c r="C14" s="116" t="s">
        <v>31</v>
      </c>
      <c r="D14" s="43" t="s">
        <v>32</v>
      </c>
      <c r="E14" s="43" t="s">
        <v>34</v>
      </c>
      <c r="F14" s="43" t="s">
        <v>33</v>
      </c>
      <c r="G14" s="49" t="s">
        <v>43</v>
      </c>
      <c r="H14" s="109"/>
      <c r="I14" s="105"/>
      <c r="J14" s="76"/>
    </row>
    <row r="15" spans="3:14" ht="31.5" customHeight="1" x14ac:dyDescent="0.25">
      <c r="C15" s="117">
        <v>1</v>
      </c>
      <c r="D15" s="101" t="s">
        <v>28</v>
      </c>
      <c r="E15" s="64">
        <f>(HLOOKUP(E8,F38:O40,3))*E9</f>
        <v>502.48905239999999</v>
      </c>
      <c r="F15" s="10" t="s">
        <v>8</v>
      </c>
      <c r="G15" s="52">
        <f>E15*123%</f>
        <v>618.06153445199993</v>
      </c>
      <c r="H15" s="106"/>
      <c r="I15" s="106"/>
      <c r="J15" s="75"/>
    </row>
    <row r="16" spans="3:14" ht="33" customHeight="1" x14ac:dyDescent="0.25">
      <c r="C16" s="117"/>
      <c r="D16" s="101"/>
      <c r="E16" s="65">
        <f>+E15/12</f>
        <v>41.874087699999997</v>
      </c>
      <c r="F16" s="118" t="s">
        <v>9</v>
      </c>
      <c r="G16" s="52">
        <f>E16*123%</f>
        <v>51.505127870999992</v>
      </c>
      <c r="H16" s="106"/>
      <c r="I16" s="106"/>
      <c r="J16" s="75"/>
    </row>
    <row r="17" spans="3:15" ht="31.5" customHeight="1" thickBot="1" x14ac:dyDescent="0.3">
      <c r="C17" s="119">
        <v>2</v>
      </c>
      <c r="D17" s="57" t="s">
        <v>10</v>
      </c>
      <c r="E17" s="120">
        <f>(HLOOKUP(E8,F38:O40,2))*E10</f>
        <v>112.54323599999999</v>
      </c>
      <c r="F17" s="121" t="s">
        <v>11</v>
      </c>
      <c r="G17" s="122">
        <f>E17*123%</f>
        <v>138.42818027999999</v>
      </c>
      <c r="H17" s="106"/>
      <c r="I17" s="106"/>
      <c r="J17" s="75"/>
    </row>
    <row r="18" spans="3:15" ht="36.75" customHeight="1" thickTop="1" thickBot="1" x14ac:dyDescent="0.3">
      <c r="C18" s="12"/>
      <c r="D18" s="110" t="s">
        <v>36</v>
      </c>
      <c r="E18" s="111">
        <f>+E16+E17</f>
        <v>154.4173237</v>
      </c>
      <c r="F18" s="55"/>
      <c r="G18" s="112">
        <f>+G16+G17</f>
        <v>189.93330815099998</v>
      </c>
      <c r="H18" s="108"/>
      <c r="I18" s="12"/>
      <c r="J18" s="13"/>
    </row>
    <row r="19" spans="3:15" ht="17.25" thickTop="1" thickBot="1" x14ac:dyDescent="0.3">
      <c r="C19" s="14"/>
      <c r="D19" s="14"/>
      <c r="E19" s="14"/>
      <c r="F19" s="15"/>
      <c r="G19" s="15"/>
      <c r="H19" s="15"/>
      <c r="I19" s="14"/>
      <c r="J19" s="16"/>
    </row>
    <row r="20" spans="3:15" ht="26.25" customHeight="1" thickTop="1" x14ac:dyDescent="0.25">
      <c r="C20" s="113" t="s">
        <v>41</v>
      </c>
      <c r="D20" s="114"/>
      <c r="E20" s="114"/>
      <c r="F20" s="114"/>
      <c r="G20" s="115"/>
      <c r="H20" s="124"/>
      <c r="I20" s="104"/>
      <c r="J20" s="90"/>
    </row>
    <row r="21" spans="3:15" ht="24" customHeight="1" x14ac:dyDescent="0.25">
      <c r="C21" s="80" t="s">
        <v>31</v>
      </c>
      <c r="D21" s="51" t="s">
        <v>32</v>
      </c>
      <c r="E21" s="51" t="s">
        <v>34</v>
      </c>
      <c r="F21" s="51" t="s">
        <v>33</v>
      </c>
      <c r="G21" s="49" t="s">
        <v>43</v>
      </c>
      <c r="H21" s="109"/>
      <c r="I21" s="123"/>
      <c r="J21" s="17"/>
    </row>
    <row r="22" spans="3:15" ht="33" customHeight="1" x14ac:dyDescent="0.25">
      <c r="C22" s="117">
        <v>1</v>
      </c>
      <c r="D22" s="101" t="s">
        <v>28</v>
      </c>
      <c r="E22" s="64">
        <f>(HLOOKUP(E8,F45:O47,3))*E9</f>
        <v>515.28358000000003</v>
      </c>
      <c r="F22" s="10" t="s">
        <v>8</v>
      </c>
      <c r="G22" s="52">
        <f>E22*123%</f>
        <v>633.7988034</v>
      </c>
      <c r="H22" s="106"/>
      <c r="I22" s="106"/>
      <c r="J22" s="75"/>
    </row>
    <row r="23" spans="3:15" ht="33" customHeight="1" x14ac:dyDescent="0.25">
      <c r="C23" s="117"/>
      <c r="D23" s="101"/>
      <c r="E23" s="65">
        <f>+E22/12</f>
        <v>42.940298333333338</v>
      </c>
      <c r="F23" s="118" t="s">
        <v>9</v>
      </c>
      <c r="G23" s="52">
        <f>E23*123%</f>
        <v>52.816566950000002</v>
      </c>
      <c r="H23" s="106"/>
      <c r="I23" s="106"/>
      <c r="J23" s="75"/>
      <c r="M23" s="31"/>
      <c r="N23" s="32"/>
      <c r="O23" s="31"/>
    </row>
    <row r="24" spans="3:15" ht="27.75" customHeight="1" thickBot="1" x14ac:dyDescent="0.3">
      <c r="C24" s="119">
        <v>2</v>
      </c>
      <c r="D24" s="57" t="s">
        <v>10</v>
      </c>
      <c r="E24" s="120">
        <f>(HLOOKUP(E8,F45:O47,2))*E10</f>
        <v>62.557248000000001</v>
      </c>
      <c r="F24" s="121" t="s">
        <v>11</v>
      </c>
      <c r="G24" s="122">
        <f>E24*123%</f>
        <v>76.94541504</v>
      </c>
      <c r="H24" s="106"/>
      <c r="I24" s="106"/>
      <c r="J24" s="75"/>
    </row>
    <row r="25" spans="3:15" ht="38.25" customHeight="1" thickTop="1" thickBot="1" x14ac:dyDescent="0.3">
      <c r="C25" s="17"/>
      <c r="D25" s="110" t="s">
        <v>36</v>
      </c>
      <c r="E25" s="111">
        <f>+E23+E24</f>
        <v>105.49754633333333</v>
      </c>
      <c r="F25" s="55"/>
      <c r="G25" s="112">
        <f>+G23+G24</f>
        <v>129.76198199000001</v>
      </c>
      <c r="H25" s="125"/>
      <c r="I25" s="12"/>
      <c r="J25" s="12"/>
    </row>
    <row r="26" spans="3:15" ht="28.5" customHeight="1" thickTop="1" thickBot="1" x14ac:dyDescent="0.3">
      <c r="C26" s="17"/>
      <c r="D26" s="53"/>
      <c r="E26" s="54"/>
      <c r="F26" s="55"/>
      <c r="G26" s="48"/>
      <c r="H26" s="48"/>
      <c r="I26" s="12"/>
      <c r="J26" s="12"/>
    </row>
    <row r="27" spans="3:15" ht="31.5" customHeight="1" thickTop="1" x14ac:dyDescent="0.25">
      <c r="C27" s="94" t="s">
        <v>33</v>
      </c>
      <c r="D27" s="96" t="s">
        <v>32</v>
      </c>
      <c r="E27" s="98" t="s">
        <v>37</v>
      </c>
      <c r="F27" s="98"/>
      <c r="G27" s="98" t="s">
        <v>38</v>
      </c>
      <c r="H27" s="103"/>
      <c r="I27" s="100"/>
      <c r="J27" s="100"/>
    </row>
    <row r="28" spans="3:15" ht="21" customHeight="1" x14ac:dyDescent="0.25">
      <c r="C28" s="95"/>
      <c r="D28" s="97"/>
      <c r="E28" s="44" t="s">
        <v>13</v>
      </c>
      <c r="F28" s="44" t="s">
        <v>14</v>
      </c>
      <c r="G28" s="44" t="s">
        <v>13</v>
      </c>
      <c r="H28" s="67" t="s">
        <v>14</v>
      </c>
      <c r="I28" s="77"/>
      <c r="J28" s="77"/>
    </row>
    <row r="29" spans="3:15" ht="33" customHeight="1" x14ac:dyDescent="0.25">
      <c r="C29" s="50" t="s">
        <v>8</v>
      </c>
      <c r="D29" s="101" t="s">
        <v>28</v>
      </c>
      <c r="E29" s="73">
        <f>E22-E15</f>
        <v>12.794527600000038</v>
      </c>
      <c r="F29" s="126">
        <f>E22/E15-100%</f>
        <v>2.5462301196196302E-2</v>
      </c>
      <c r="G29" s="73">
        <f>G22-G15</f>
        <v>15.737268948000064</v>
      </c>
      <c r="H29" s="70">
        <f>G22/G15-100%</f>
        <v>2.5462301196196302E-2</v>
      </c>
      <c r="I29" s="78"/>
      <c r="J29" s="79"/>
    </row>
    <row r="30" spans="3:15" ht="33" customHeight="1" x14ac:dyDescent="0.25">
      <c r="C30" s="50" t="s">
        <v>9</v>
      </c>
      <c r="D30" s="101"/>
      <c r="E30" s="73">
        <f>E23-E16</f>
        <v>1.0662106333333412</v>
      </c>
      <c r="F30" s="126">
        <f>E23/E16-100%</f>
        <v>2.5462301196196302E-2</v>
      </c>
      <c r="G30" s="73">
        <f>G23-G16</f>
        <v>1.3114390790000101</v>
      </c>
      <c r="H30" s="70">
        <f t="shared" ref="H30:H31" si="0">G23/G16-100%</f>
        <v>2.5462301196196302E-2</v>
      </c>
      <c r="I30" s="78"/>
      <c r="J30" s="79"/>
    </row>
    <row r="31" spans="3:15" ht="33" customHeight="1" thickBot="1" x14ac:dyDescent="0.3">
      <c r="C31" s="56" t="s">
        <v>11</v>
      </c>
      <c r="D31" s="57" t="s">
        <v>10</v>
      </c>
      <c r="E31" s="74">
        <f>E24-E17</f>
        <v>-49.985987999999992</v>
      </c>
      <c r="F31" s="127">
        <f>E24/E17-100%</f>
        <v>-0.44414919791359109</v>
      </c>
      <c r="G31" s="74">
        <f>G24-G17</f>
        <v>-61.482765239999992</v>
      </c>
      <c r="H31" s="71">
        <f t="shared" si="0"/>
        <v>-0.4441491979135912</v>
      </c>
      <c r="I31" s="78"/>
      <c r="J31" s="79"/>
    </row>
    <row r="32" spans="3:15" ht="32.25" customHeight="1" thickTop="1" x14ac:dyDescent="0.25">
      <c r="C32" s="17"/>
      <c r="D32" s="46"/>
      <c r="E32" s="47"/>
      <c r="F32" s="48"/>
      <c r="G32" s="140"/>
      <c r="H32" s="48"/>
      <c r="I32" s="72"/>
      <c r="J32" s="12"/>
    </row>
    <row r="33" spans="3:16" x14ac:dyDescent="0.25">
      <c r="I33" s="41"/>
    </row>
    <row r="34" spans="3:16" ht="174" customHeight="1" x14ac:dyDescent="0.25">
      <c r="C34" s="91" t="s">
        <v>29</v>
      </c>
      <c r="D34" s="92"/>
      <c r="E34" s="92"/>
      <c r="F34" s="92"/>
      <c r="G34" s="92"/>
      <c r="H34" s="92"/>
      <c r="I34" s="92"/>
      <c r="J34" s="92"/>
    </row>
    <row r="36" spans="3:16" x14ac:dyDescent="0.25">
      <c r="D36" s="93" t="s">
        <v>40</v>
      </c>
      <c r="E36" s="93"/>
      <c r="F36" s="93"/>
      <c r="G36" s="93"/>
      <c r="H36" s="93"/>
      <c r="I36" s="93"/>
      <c r="J36" s="93"/>
      <c r="K36" s="93"/>
      <c r="L36" s="93"/>
    </row>
    <row r="38" spans="3:16" ht="20.100000000000001" customHeight="1" x14ac:dyDescent="0.25">
      <c r="D38" s="19" t="s">
        <v>15</v>
      </c>
      <c r="E38" s="19" t="s">
        <v>16</v>
      </c>
      <c r="F38" s="20" t="s">
        <v>4</v>
      </c>
      <c r="G38" s="20" t="s">
        <v>17</v>
      </c>
      <c r="H38" s="20" t="s">
        <v>18</v>
      </c>
      <c r="I38" s="19" t="s">
        <v>19</v>
      </c>
      <c r="J38" s="20" t="s">
        <v>20</v>
      </c>
      <c r="K38" s="20" t="s">
        <v>21</v>
      </c>
      <c r="L38" s="20" t="s">
        <v>22</v>
      </c>
      <c r="M38" s="20" t="s">
        <v>23</v>
      </c>
      <c r="N38" s="20" t="s">
        <v>24</v>
      </c>
      <c r="O38" s="20" t="s">
        <v>25</v>
      </c>
    </row>
    <row r="39" spans="3:16" ht="20.100000000000001" customHeight="1" x14ac:dyDescent="0.25">
      <c r="D39" s="21" t="s">
        <v>26</v>
      </c>
      <c r="E39" s="22" t="s">
        <v>11</v>
      </c>
      <c r="F39" s="23">
        <f>86.43+32.02</f>
        <v>118.45000000000002</v>
      </c>
      <c r="G39" s="23">
        <f>86.43+18.97</f>
        <v>105.4</v>
      </c>
      <c r="H39" s="23">
        <f>86.43+29.04</f>
        <v>115.47</v>
      </c>
      <c r="I39" s="23">
        <f>76.52+24.97</f>
        <v>101.49</v>
      </c>
      <c r="J39" s="23">
        <f>76.52+15.95</f>
        <v>92.47</v>
      </c>
      <c r="K39" s="23">
        <f>76.52+21.62</f>
        <v>98.14</v>
      </c>
      <c r="L39" s="23">
        <f>75.91+25.7</f>
        <v>101.61</v>
      </c>
      <c r="M39" s="23">
        <f>75.91+16.42</f>
        <v>92.33</v>
      </c>
      <c r="N39" s="23">
        <f>75.91+21.69</f>
        <v>97.6</v>
      </c>
      <c r="O39" s="23">
        <v>143.41999999999999</v>
      </c>
    </row>
    <row r="40" spans="3:16" ht="20.100000000000001" customHeight="1" x14ac:dyDescent="0.25">
      <c r="D40" s="24" t="s">
        <v>27</v>
      </c>
      <c r="E40" s="22" t="s">
        <v>30</v>
      </c>
      <c r="F40" s="25">
        <f>106973.66+35427.49</f>
        <v>142401.15</v>
      </c>
      <c r="G40" s="25">
        <f>106973.66+20333.94</f>
        <v>127307.6</v>
      </c>
      <c r="H40" s="25">
        <f>106973.66+25616.57</f>
        <v>132590.23000000001</v>
      </c>
      <c r="I40" s="26">
        <f>155778.35+50147.09</f>
        <v>205925.44</v>
      </c>
      <c r="J40" s="27">
        <f>155778.35+29103.64</f>
        <v>184881.99</v>
      </c>
      <c r="K40" s="27">
        <f>155778.35+35703.27</f>
        <v>191481.62</v>
      </c>
      <c r="L40" s="27">
        <f>159968.41+52950.68</f>
        <v>212919.09</v>
      </c>
      <c r="M40" s="27">
        <f>159968.41+27553.92</f>
        <v>187522.33000000002</v>
      </c>
      <c r="N40" s="27">
        <f>159968.41+32847.38</f>
        <v>192815.79</v>
      </c>
      <c r="O40" s="27">
        <v>44105.08</v>
      </c>
    </row>
    <row r="41" spans="3:16" ht="20.100000000000001" customHeight="1" x14ac:dyDescent="0.25">
      <c r="F41" s="34"/>
      <c r="G41" s="34"/>
      <c r="H41" s="34"/>
      <c r="I41" s="35"/>
      <c r="J41" s="36"/>
      <c r="K41" s="35"/>
      <c r="L41" s="37"/>
      <c r="M41" s="35"/>
      <c r="N41" s="37"/>
      <c r="O41" s="35"/>
    </row>
    <row r="42" spans="3:16" ht="20.100000000000001" customHeight="1" x14ac:dyDescent="0.25">
      <c r="F42" s="34"/>
      <c r="G42" s="34"/>
      <c r="H42" s="34"/>
      <c r="I42" s="35"/>
      <c r="J42" s="36"/>
      <c r="K42" s="35"/>
      <c r="L42" s="37"/>
      <c r="M42" s="35"/>
      <c r="N42" s="37"/>
      <c r="O42" s="35"/>
    </row>
    <row r="43" spans="3:16" ht="20.100000000000001" customHeight="1" x14ac:dyDescent="0.25">
      <c r="D43" s="93" t="s">
        <v>39</v>
      </c>
      <c r="E43" s="93"/>
      <c r="F43" s="93"/>
      <c r="G43" s="93"/>
      <c r="H43" s="93"/>
      <c r="I43" s="93"/>
      <c r="J43" s="93"/>
      <c r="K43" s="93"/>
      <c r="L43" s="93"/>
    </row>
    <row r="44" spans="3:16" ht="20.100000000000001" customHeight="1" x14ac:dyDescent="0.25"/>
    <row r="45" spans="3:16" ht="20.100000000000001" customHeight="1" x14ac:dyDescent="0.25">
      <c r="D45" s="19" t="s">
        <v>15</v>
      </c>
      <c r="E45" s="19" t="s">
        <v>16</v>
      </c>
      <c r="F45" s="20" t="s">
        <v>4</v>
      </c>
      <c r="G45" s="20" t="s">
        <v>17</v>
      </c>
      <c r="H45" s="20" t="s">
        <v>18</v>
      </c>
      <c r="I45" s="19" t="s">
        <v>19</v>
      </c>
      <c r="J45" s="20" t="s">
        <v>20</v>
      </c>
      <c r="K45" s="20" t="s">
        <v>21</v>
      </c>
      <c r="L45" s="20" t="s">
        <v>22</v>
      </c>
      <c r="M45" s="20" t="s">
        <v>23</v>
      </c>
      <c r="N45" s="20" t="s">
        <v>24</v>
      </c>
      <c r="O45" s="20" t="s">
        <v>25</v>
      </c>
    </row>
    <row r="46" spans="3:16" ht="20.100000000000001" customHeight="1" x14ac:dyDescent="0.25">
      <c r="D46" s="21" t="s">
        <v>26</v>
      </c>
      <c r="E46" s="22" t="s">
        <v>11</v>
      </c>
      <c r="F46" s="23">
        <f>73.32+24.35</f>
        <v>97.669999999999987</v>
      </c>
      <c r="G46" s="23">
        <f>73.32+13.05</f>
        <v>86.36999999999999</v>
      </c>
      <c r="H46" s="23">
        <f>73.32+21.61</f>
        <v>94.929999999999993</v>
      </c>
      <c r="I46" s="23">
        <f>37.58+19.18</f>
        <v>56.76</v>
      </c>
      <c r="J46" s="23">
        <f>37.58+10.73</f>
        <v>48.31</v>
      </c>
      <c r="K46" s="23">
        <f>37.58+15.78</f>
        <v>53.36</v>
      </c>
      <c r="L46" s="23">
        <f>36.97+19.51</f>
        <v>56.480000000000004</v>
      </c>
      <c r="M46" s="23">
        <f>36.97+9.96</f>
        <v>46.93</v>
      </c>
      <c r="N46" s="23">
        <f>36.97+14.41</f>
        <v>51.379999999999995</v>
      </c>
      <c r="O46" s="23">
        <v>143.41999999999999</v>
      </c>
    </row>
    <row r="47" spans="3:16" ht="20.100000000000001" customHeight="1" x14ac:dyDescent="0.25">
      <c r="D47" s="24" t="s">
        <v>27</v>
      </c>
      <c r="E47" s="22" t="s">
        <v>30</v>
      </c>
      <c r="F47" s="25">
        <f>145030.5+31055.94</f>
        <v>176086.44</v>
      </c>
      <c r="G47" s="25">
        <f>145030.5+15950.66</f>
        <v>160981.16</v>
      </c>
      <c r="H47" s="25">
        <f>145030.5+21937.64</f>
        <v>166968.14000000001</v>
      </c>
      <c r="I47" s="26">
        <f>167659.41+38200.86</f>
        <v>205860.27000000002</v>
      </c>
      <c r="J47" s="27">
        <f>167659.41+19141.52</f>
        <v>186800.93</v>
      </c>
      <c r="K47" s="27">
        <f>167659.41+25741.15</f>
        <v>193400.56</v>
      </c>
      <c r="L47" s="27">
        <f>176326.17+42014.33</f>
        <v>218340.5</v>
      </c>
      <c r="M47" s="27">
        <f>176326.17+17119.78</f>
        <v>193445.95</v>
      </c>
      <c r="N47" s="27">
        <f>176326.17+22624.98</f>
        <v>198951.15000000002</v>
      </c>
      <c r="O47" s="27">
        <v>44105.08</v>
      </c>
    </row>
    <row r="48" spans="3:16" ht="20.100000000000001" customHeight="1" x14ac:dyDescent="0.25">
      <c r="F48" s="81"/>
      <c r="G48" s="81"/>
      <c r="H48" s="81"/>
      <c r="I48" s="82"/>
      <c r="J48" s="82"/>
      <c r="K48" s="82"/>
      <c r="L48" s="82"/>
      <c r="M48" s="82"/>
      <c r="N48" s="82"/>
      <c r="O48" s="82"/>
      <c r="P48" s="83"/>
    </row>
    <row r="49" spans="6:32" ht="20.100000000000001" customHeight="1" x14ac:dyDescent="0.25">
      <c r="F49" s="84"/>
      <c r="G49" s="84"/>
      <c r="H49" s="84"/>
      <c r="I49" s="82"/>
      <c r="J49" s="82"/>
      <c r="K49" s="82"/>
      <c r="L49" s="82"/>
      <c r="M49" s="82"/>
      <c r="N49" s="82"/>
      <c r="O49" s="82"/>
      <c r="P49" s="83"/>
    </row>
    <row r="50" spans="6:32" ht="20.100000000000001" customHeight="1" x14ac:dyDescent="0.25">
      <c r="F50" s="38"/>
      <c r="G50" s="38"/>
      <c r="H50" s="38"/>
      <c r="I50" s="33"/>
      <c r="J50" s="39"/>
      <c r="K50" s="33"/>
      <c r="L50" s="40"/>
      <c r="M50" s="33"/>
      <c r="N50" s="40"/>
      <c r="O50" s="33"/>
      <c r="P50" s="33"/>
    </row>
    <row r="51" spans="6:32" ht="18.75" customHeight="1" x14ac:dyDescent="0.25"/>
    <row r="52" spans="6:32" ht="18.75" customHeight="1" x14ac:dyDescent="0.25"/>
    <row r="53" spans="6:32" ht="18.75" customHeight="1" x14ac:dyDescent="0.25">
      <c r="F53" s="28"/>
      <c r="G53" s="28"/>
      <c r="H53" s="28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6:32" ht="18.75" customHeight="1" x14ac:dyDescent="0.25">
      <c r="F54" s="28"/>
      <c r="G54" s="28"/>
      <c r="H54" s="28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6:32" ht="18.75" customHeight="1" x14ac:dyDescent="0.25">
      <c r="F55" s="28"/>
      <c r="G55" s="28"/>
      <c r="H55" s="28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6:32" ht="18.75" customHeight="1" x14ac:dyDescent="0.25">
      <c r="F56" s="28"/>
      <c r="G56" s="28"/>
      <c r="H56" s="28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6:32" ht="18.75" customHeight="1" x14ac:dyDescent="0.25">
      <c r="F57" s="28"/>
      <c r="G57" s="28"/>
      <c r="H57" s="28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6:32" ht="18.75" customHeight="1" x14ac:dyDescent="0.25">
      <c r="F58" s="28"/>
      <c r="G58" s="28"/>
      <c r="H58" s="28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6:32" ht="18.75" customHeight="1" x14ac:dyDescent="0.25">
      <c r="F59" s="28"/>
      <c r="G59" s="28"/>
      <c r="H59" s="28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6:32" ht="18.75" customHeight="1" x14ac:dyDescent="0.25">
      <c r="F60" s="28"/>
      <c r="G60" s="28"/>
      <c r="H60" s="28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6:32" ht="18.75" customHeight="1" x14ac:dyDescent="0.25">
      <c r="F61" s="28"/>
      <c r="G61" s="28"/>
      <c r="H61" s="28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6:32" ht="18.75" customHeight="1" x14ac:dyDescent="0.25">
      <c r="F62" s="28"/>
      <c r="G62" s="28"/>
      <c r="H62" s="28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6:32" ht="18.75" customHeight="1" x14ac:dyDescent="0.25">
      <c r="F63" s="28"/>
      <c r="G63" s="28"/>
      <c r="H63" s="28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6:32" ht="18.75" customHeight="1" x14ac:dyDescent="0.25">
      <c r="F64" s="28"/>
      <c r="G64" s="28"/>
      <c r="H64" s="28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6:32" ht="18.75" customHeight="1" x14ac:dyDescent="0.25">
      <c r="F65" s="28"/>
      <c r="G65" s="28"/>
      <c r="H65" s="28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6:32" ht="18.75" customHeight="1" x14ac:dyDescent="0.25">
      <c r="F66" s="28"/>
      <c r="G66" s="28"/>
      <c r="H66" s="28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6:32" ht="18.75" customHeight="1" x14ac:dyDescent="0.25">
      <c r="F67" s="28"/>
      <c r="G67" s="28"/>
      <c r="H67" s="28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6:32" ht="18.75" customHeight="1" x14ac:dyDescent="0.25">
      <c r="F68" s="28"/>
      <c r="G68" s="28"/>
      <c r="H68" s="28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6:32" ht="18.75" customHeight="1" x14ac:dyDescent="0.25">
      <c r="F69" s="28"/>
      <c r="G69" s="28"/>
      <c r="H69" s="28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6:32" ht="18.75" customHeight="1" x14ac:dyDescent="0.25">
      <c r="F70" s="28"/>
      <c r="G70" s="28"/>
      <c r="H70" s="28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6:32" ht="18.75" customHeight="1" x14ac:dyDescent="0.25">
      <c r="F71" s="28"/>
      <c r="G71" s="28"/>
      <c r="H71" s="28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6:32" ht="18.75" customHeight="1" x14ac:dyDescent="0.25">
      <c r="F72" s="28"/>
      <c r="G72" s="28"/>
      <c r="H72" s="28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6:32" ht="18.75" customHeight="1" x14ac:dyDescent="0.25">
      <c r="F73" s="28"/>
      <c r="G73" s="28"/>
      <c r="H73" s="28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6:32" ht="18.75" customHeight="1" x14ac:dyDescent="0.25">
      <c r="F74" s="28"/>
      <c r="G74" s="28"/>
      <c r="H74" s="28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6:32" ht="18.75" customHeight="1" x14ac:dyDescent="0.25">
      <c r="F75" s="28"/>
      <c r="G75" s="28"/>
      <c r="H75" s="28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6:32" ht="18.75" customHeight="1" x14ac:dyDescent="0.25">
      <c r="F76" s="28"/>
      <c r="G76" s="28"/>
      <c r="H76" s="28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6:32" ht="18.75" customHeight="1" x14ac:dyDescent="0.25">
      <c r="F77" s="28"/>
      <c r="G77" s="28"/>
      <c r="H77" s="28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6:32" ht="18.75" customHeight="1" x14ac:dyDescent="0.25">
      <c r="F78" s="28"/>
      <c r="G78" s="28"/>
      <c r="H78" s="28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6:32" ht="18.75" customHeight="1" x14ac:dyDescent="0.25">
      <c r="F79" s="28"/>
      <c r="G79" s="28"/>
      <c r="H79" s="28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6:32" ht="18.75" customHeight="1" x14ac:dyDescent="0.25">
      <c r="F80" s="28"/>
      <c r="G80" s="28"/>
      <c r="H80" s="28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6:32" ht="18.75" customHeight="1" x14ac:dyDescent="0.25">
      <c r="F81" s="28"/>
      <c r="G81" s="28"/>
      <c r="H81" s="28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6:32" ht="18.75" customHeight="1" x14ac:dyDescent="0.25">
      <c r="F82" s="28"/>
      <c r="G82" s="28"/>
      <c r="H82" s="28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6:32" ht="18.75" customHeight="1" x14ac:dyDescent="0.25">
      <c r="F83" s="28"/>
      <c r="G83" s="28"/>
      <c r="H83" s="28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6:32" ht="18.75" customHeight="1" x14ac:dyDescent="0.25">
      <c r="F84" s="28"/>
      <c r="G84" s="28"/>
      <c r="H84" s="28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6:32" ht="18.75" customHeight="1" x14ac:dyDescent="0.25"/>
    <row r="86" spans="6:32" ht="18.75" customHeight="1" x14ac:dyDescent="0.25"/>
    <row r="87" spans="6:32" ht="18.75" customHeight="1" x14ac:dyDescent="0.25"/>
    <row r="88" spans="6:32" ht="18.75" customHeight="1" x14ac:dyDescent="0.25"/>
    <row r="89" spans="6:32" ht="18.75" customHeight="1" x14ac:dyDescent="0.25"/>
    <row r="90" spans="6:32" ht="18.75" customHeight="1" x14ac:dyDescent="0.25"/>
    <row r="91" spans="6:32" ht="18.75" customHeight="1" x14ac:dyDescent="0.25"/>
    <row r="92" spans="6:32" ht="18.75" customHeight="1" x14ac:dyDescent="0.25"/>
    <row r="93" spans="6:32" ht="18.75" customHeight="1" x14ac:dyDescent="0.25"/>
    <row r="94" spans="6:32" ht="18.75" customHeight="1" x14ac:dyDescent="0.25"/>
    <row r="95" spans="6:32" ht="18.75" customHeight="1" x14ac:dyDescent="0.25"/>
    <row r="96" spans="6:32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  <row r="556" ht="18.75" customHeight="1" x14ac:dyDescent="0.25"/>
    <row r="557" ht="18.75" customHeight="1" x14ac:dyDescent="0.25"/>
    <row r="558" ht="18.75" customHeight="1" x14ac:dyDescent="0.25"/>
    <row r="559" ht="18.75" customHeight="1" x14ac:dyDescent="0.25"/>
    <row r="560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  <row r="703" ht="18.75" customHeight="1" x14ac:dyDescent="0.25"/>
    <row r="704" ht="18.75" customHeight="1" x14ac:dyDescent="0.25"/>
  </sheetData>
  <mergeCells count="20">
    <mergeCell ref="C20:G20"/>
    <mergeCell ref="C34:J34"/>
    <mergeCell ref="D36:L36"/>
    <mergeCell ref="D43:L43"/>
    <mergeCell ref="C27:C28"/>
    <mergeCell ref="D27:D28"/>
    <mergeCell ref="E27:F27"/>
    <mergeCell ref="G27:H27"/>
    <mergeCell ref="I27:J27"/>
    <mergeCell ref="D29:D30"/>
    <mergeCell ref="C22:C23"/>
    <mergeCell ref="D22:D23"/>
    <mergeCell ref="C2:J2"/>
    <mergeCell ref="C4:J4"/>
    <mergeCell ref="C6:F6"/>
    <mergeCell ref="I13:J13"/>
    <mergeCell ref="C15:C16"/>
    <mergeCell ref="D15:D16"/>
    <mergeCell ref="I20:J20"/>
    <mergeCell ref="C13:G13"/>
  </mergeCells>
  <dataValidations count="1">
    <dataValidation type="list" allowBlank="1" showInputMessage="1" showErrorMessage="1" sqref="E8" xr:uid="{B7B527E0-1B48-4B7E-B24B-AC1D0B1081BD}">
      <formula1>$F$38:$O$38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43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AR704"/>
  <sheetViews>
    <sheetView showGridLines="0" tabSelected="1" topLeftCell="A6" zoomScale="75" zoomScaleNormal="75" workbookViewId="0">
      <selection activeCell="D44" sqref="D44"/>
    </sheetView>
  </sheetViews>
  <sheetFormatPr defaultRowHeight="15.75" x14ac:dyDescent="0.25"/>
  <cols>
    <col min="3" max="3" width="9.5" customWidth="1"/>
    <col min="4" max="4" width="55.1640625" customWidth="1"/>
    <col min="5" max="5" width="30.83203125" customWidth="1"/>
    <col min="6" max="6" width="28.33203125" style="1" bestFit="1" customWidth="1"/>
    <col min="7" max="7" width="30.6640625" style="1" customWidth="1"/>
    <col min="8" max="8" width="28.33203125" style="1" customWidth="1"/>
    <col min="9" max="9" width="30.1640625" customWidth="1"/>
    <col min="10" max="10" width="28.83203125" style="2" customWidth="1"/>
    <col min="11" max="11" width="11.6640625" bestFit="1" customWidth="1"/>
    <col min="12" max="12" width="12.6640625" style="3" customWidth="1"/>
    <col min="13" max="13" width="11.5" customWidth="1"/>
    <col min="14" max="14" width="11.5" style="3" bestFit="1" customWidth="1"/>
    <col min="15" max="15" width="11.5" customWidth="1"/>
    <col min="16" max="16" width="15.5" customWidth="1"/>
    <col min="17" max="17" width="8.6640625" customWidth="1"/>
    <col min="18" max="18" width="8.1640625" customWidth="1"/>
    <col min="19" max="19" width="8.5" customWidth="1"/>
    <col min="21" max="21" width="7.6640625" customWidth="1"/>
    <col min="22" max="22" width="12.83203125" customWidth="1"/>
    <col min="23" max="25" width="10.83203125" customWidth="1"/>
    <col min="26" max="27" width="9.33203125" customWidth="1"/>
    <col min="28" max="32" width="10.83203125" customWidth="1"/>
    <col min="33" max="34" width="9.33203125" customWidth="1"/>
    <col min="35" max="35" width="5.83203125" customWidth="1"/>
    <col min="36" max="36" width="10.83203125" customWidth="1"/>
    <col min="37" max="37" width="11.1640625" customWidth="1"/>
    <col min="38" max="40" width="12.83203125" customWidth="1"/>
    <col min="41" max="41" width="14.83203125" customWidth="1"/>
    <col min="42" max="42" width="8.83203125" customWidth="1"/>
    <col min="43" max="43" width="10.83203125" customWidth="1"/>
    <col min="44" max="44" width="10.83203125" style="4" customWidth="1"/>
    <col min="45" max="50" width="10.83203125" customWidth="1"/>
    <col min="51" max="52" width="12.83203125" customWidth="1"/>
    <col min="53" max="54" width="10.83203125" customWidth="1"/>
    <col min="55" max="86" width="9.33203125" customWidth="1"/>
  </cols>
  <sheetData>
    <row r="1" spans="3:14" ht="16.5" thickBot="1" x14ac:dyDescent="0.3"/>
    <row r="2" spans="3:14" ht="21" thickBot="1" x14ac:dyDescent="0.35">
      <c r="C2" s="85" t="s">
        <v>0</v>
      </c>
      <c r="D2" s="86"/>
      <c r="E2" s="86"/>
      <c r="F2" s="86"/>
      <c r="G2" s="86"/>
      <c r="H2" s="86"/>
      <c r="I2" s="86"/>
      <c r="J2" s="87"/>
    </row>
    <row r="4" spans="3:14" ht="18.75" x14ac:dyDescent="0.3">
      <c r="C4" s="88" t="s">
        <v>1</v>
      </c>
      <c r="D4" s="88"/>
      <c r="E4" s="88"/>
      <c r="F4" s="88"/>
      <c r="G4" s="88"/>
      <c r="H4" s="88"/>
      <c r="I4" s="88"/>
      <c r="J4" s="88"/>
    </row>
    <row r="6" spans="3:14" x14ac:dyDescent="0.25">
      <c r="C6" s="89" t="s">
        <v>2</v>
      </c>
      <c r="D6" s="89"/>
      <c r="E6" s="89"/>
      <c r="F6" s="89"/>
      <c r="G6" s="42"/>
      <c r="H6" s="42"/>
    </row>
    <row r="7" spans="3:14" x14ac:dyDescent="0.25">
      <c r="C7" s="5"/>
      <c r="D7" s="5"/>
      <c r="E7" s="5"/>
      <c r="F7" s="5"/>
      <c r="G7" s="5"/>
      <c r="H7" s="5"/>
    </row>
    <row r="8" spans="3:14" ht="19.5" customHeight="1" x14ac:dyDescent="0.25">
      <c r="C8" s="6">
        <v>1</v>
      </c>
      <c r="D8" s="7" t="s">
        <v>3</v>
      </c>
      <c r="E8" s="8" t="s">
        <v>19</v>
      </c>
      <c r="F8" s="9"/>
      <c r="G8" s="9"/>
      <c r="H8" s="9"/>
    </row>
    <row r="9" spans="3:14" ht="20.25" customHeight="1" thickBot="1" x14ac:dyDescent="0.3">
      <c r="C9" s="6">
        <v>2</v>
      </c>
      <c r="D9" s="7" t="s">
        <v>5</v>
      </c>
      <c r="E9" s="62">
        <v>3.4719999999999998E-3</v>
      </c>
      <c r="F9" s="10" t="s">
        <v>6</v>
      </c>
      <c r="G9" s="18"/>
      <c r="H9" s="18"/>
    </row>
    <row r="10" spans="3:14" ht="38.25" customHeight="1" thickBot="1" x14ac:dyDescent="0.3">
      <c r="C10" s="6">
        <v>3</v>
      </c>
      <c r="D10" s="11" t="s">
        <v>35</v>
      </c>
      <c r="E10" s="63">
        <v>3.9674999999999998</v>
      </c>
      <c r="F10" s="10" t="s">
        <v>7</v>
      </c>
      <c r="G10" s="18"/>
      <c r="H10" s="18"/>
    </row>
    <row r="11" spans="3:14" x14ac:dyDescent="0.25">
      <c r="L11" s="32"/>
      <c r="M11" s="31"/>
      <c r="N11" s="32"/>
    </row>
    <row r="12" spans="3:14" ht="16.5" thickBot="1" x14ac:dyDescent="0.3"/>
    <row r="13" spans="3:14" ht="21" customHeight="1" thickTop="1" x14ac:dyDescent="0.25">
      <c r="C13" s="137" t="s">
        <v>42</v>
      </c>
      <c r="D13" s="138"/>
      <c r="E13" s="138"/>
      <c r="F13" s="138"/>
      <c r="G13" s="139"/>
      <c r="H13" s="107"/>
      <c r="I13" s="128"/>
      <c r="J13" s="128"/>
    </row>
    <row r="14" spans="3:14" ht="21" customHeight="1" x14ac:dyDescent="0.25">
      <c r="C14" s="116" t="s">
        <v>31</v>
      </c>
      <c r="D14" s="43" t="s">
        <v>32</v>
      </c>
      <c r="E14" s="43" t="s">
        <v>34</v>
      </c>
      <c r="F14" s="43" t="s">
        <v>33</v>
      </c>
      <c r="G14" s="49" t="s">
        <v>43</v>
      </c>
      <c r="H14" s="109"/>
      <c r="I14" s="129"/>
      <c r="J14" s="129"/>
    </row>
    <row r="15" spans="3:14" ht="31.5" customHeight="1" x14ac:dyDescent="0.25">
      <c r="C15" s="117">
        <v>1</v>
      </c>
      <c r="D15" s="101" t="s">
        <v>28</v>
      </c>
      <c r="E15" s="64">
        <f>(HLOOKUP(E8,F38:O40,3))*E9</f>
        <v>760.86258639999994</v>
      </c>
      <c r="F15" s="10" t="s">
        <v>8</v>
      </c>
      <c r="G15" s="52">
        <f>E15*123%</f>
        <v>935.86098127199989</v>
      </c>
      <c r="H15" s="106"/>
      <c r="I15" s="106"/>
      <c r="J15" s="75"/>
    </row>
    <row r="16" spans="3:14" ht="33" customHeight="1" x14ac:dyDescent="0.25">
      <c r="C16" s="117"/>
      <c r="D16" s="101"/>
      <c r="E16" s="65">
        <f>+E15/12</f>
        <v>63.405215533333326</v>
      </c>
      <c r="F16" s="118" t="s">
        <v>9</v>
      </c>
      <c r="G16" s="52">
        <f>E16*123%</f>
        <v>77.988415105999991</v>
      </c>
      <c r="H16" s="106"/>
      <c r="I16" s="106"/>
      <c r="J16" s="75"/>
    </row>
    <row r="17" spans="3:15" ht="31.5" customHeight="1" thickBot="1" x14ac:dyDescent="0.3">
      <c r="C17" s="119">
        <v>2</v>
      </c>
      <c r="D17" s="57" t="s">
        <v>10</v>
      </c>
      <c r="E17" s="120">
        <f>(HLOOKUP(E8,F38:O40,2))*E10</f>
        <v>428.41064999999998</v>
      </c>
      <c r="F17" s="121" t="s">
        <v>11</v>
      </c>
      <c r="G17" s="122">
        <f>E17*123%</f>
        <v>526.94509949999997</v>
      </c>
      <c r="H17" s="106"/>
      <c r="I17" s="106"/>
      <c r="J17" s="75"/>
    </row>
    <row r="18" spans="3:15" ht="36.75" customHeight="1" thickTop="1" thickBot="1" x14ac:dyDescent="0.3">
      <c r="C18" s="12"/>
      <c r="D18" s="110" t="s">
        <v>12</v>
      </c>
      <c r="E18" s="111">
        <f>+E15+E17</f>
        <v>1189.2732363999999</v>
      </c>
      <c r="F18" s="55"/>
      <c r="G18" s="112">
        <f>+G16+G17</f>
        <v>604.93351460600002</v>
      </c>
      <c r="H18" s="48"/>
      <c r="I18" s="130"/>
      <c r="J18" s="131"/>
    </row>
    <row r="19" spans="3:15" ht="17.25" thickTop="1" thickBot="1" x14ac:dyDescent="0.3">
      <c r="C19" s="14"/>
      <c r="D19" s="14"/>
      <c r="E19" s="14"/>
      <c r="F19" s="15"/>
      <c r="G19" s="15"/>
      <c r="H19" s="15"/>
      <c r="I19" s="132"/>
      <c r="J19" s="133"/>
    </row>
    <row r="20" spans="3:15" ht="26.25" customHeight="1" thickTop="1" x14ac:dyDescent="0.25">
      <c r="C20" s="113" t="s">
        <v>41</v>
      </c>
      <c r="D20" s="114"/>
      <c r="E20" s="114"/>
      <c r="F20" s="114"/>
      <c r="G20" s="115"/>
      <c r="H20" s="107"/>
      <c r="I20" s="128"/>
      <c r="J20" s="128"/>
    </row>
    <row r="21" spans="3:15" ht="24" customHeight="1" x14ac:dyDescent="0.25">
      <c r="C21" s="80" t="s">
        <v>31</v>
      </c>
      <c r="D21" s="51" t="s">
        <v>32</v>
      </c>
      <c r="E21" s="51" t="s">
        <v>34</v>
      </c>
      <c r="F21" s="51" t="s">
        <v>33</v>
      </c>
      <c r="G21" s="49" t="s">
        <v>43</v>
      </c>
      <c r="H21" s="109"/>
      <c r="I21" s="134"/>
      <c r="J21" s="134"/>
    </row>
    <row r="22" spans="3:15" ht="33" customHeight="1" x14ac:dyDescent="0.25">
      <c r="C22" s="117">
        <v>1</v>
      </c>
      <c r="D22" s="101" t="s">
        <v>28</v>
      </c>
      <c r="E22" s="64">
        <f>(HLOOKUP(E8,F45:O47,3))*E9</f>
        <v>714.74685743999999</v>
      </c>
      <c r="F22" s="10" t="s">
        <v>8</v>
      </c>
      <c r="G22" s="52">
        <f>E22*123%</f>
        <v>879.13863465119994</v>
      </c>
      <c r="H22" s="106"/>
      <c r="I22" s="106"/>
      <c r="J22" s="75"/>
    </row>
    <row r="23" spans="3:15" ht="33" customHeight="1" x14ac:dyDescent="0.25">
      <c r="C23" s="117"/>
      <c r="D23" s="101"/>
      <c r="E23" s="65">
        <f>+E22/12</f>
        <v>59.562238119999996</v>
      </c>
      <c r="F23" s="118" t="s">
        <v>9</v>
      </c>
      <c r="G23" s="52">
        <f>E23*122%</f>
        <v>72.665930506399988</v>
      </c>
      <c r="H23" s="106"/>
      <c r="I23" s="106"/>
      <c r="J23" s="75"/>
      <c r="M23" s="31"/>
      <c r="N23" s="32"/>
      <c r="O23" s="31"/>
    </row>
    <row r="24" spans="3:15" ht="27.75" customHeight="1" thickBot="1" x14ac:dyDescent="0.3">
      <c r="C24" s="119">
        <v>2</v>
      </c>
      <c r="D24" s="57" t="s">
        <v>10</v>
      </c>
      <c r="E24" s="120">
        <f>(HLOOKUP(E8,F45:O47,2))*E10</f>
        <v>225.19529999999997</v>
      </c>
      <c r="F24" s="121" t="s">
        <v>11</v>
      </c>
      <c r="G24" s="122">
        <f>+E24*123%</f>
        <v>276.99021899999997</v>
      </c>
      <c r="H24" s="106"/>
      <c r="I24" s="106"/>
      <c r="J24" s="75"/>
    </row>
    <row r="25" spans="3:15" ht="38.25" customHeight="1" thickTop="1" thickBot="1" x14ac:dyDescent="0.3">
      <c r="C25" s="17"/>
      <c r="D25" s="110" t="s">
        <v>12</v>
      </c>
      <c r="E25" s="111">
        <f>+E22+E24</f>
        <v>939.94215743999996</v>
      </c>
      <c r="F25" s="55"/>
      <c r="G25" s="112">
        <f>+G23+G24</f>
        <v>349.65614950639997</v>
      </c>
      <c r="H25" s="48"/>
      <c r="I25" s="130"/>
      <c r="J25" s="130"/>
    </row>
    <row r="26" spans="3:15" ht="28.5" customHeight="1" thickTop="1" thickBot="1" x14ac:dyDescent="0.3">
      <c r="C26" s="17"/>
      <c r="D26" s="53"/>
      <c r="E26" s="54"/>
      <c r="F26" s="55"/>
      <c r="G26" s="48"/>
      <c r="H26" s="48"/>
      <c r="I26" s="130"/>
      <c r="J26" s="130"/>
    </row>
    <row r="27" spans="3:15" ht="31.5" customHeight="1" thickTop="1" x14ac:dyDescent="0.25">
      <c r="C27" s="94" t="s">
        <v>33</v>
      </c>
      <c r="D27" s="96" t="s">
        <v>32</v>
      </c>
      <c r="E27" s="98" t="s">
        <v>37</v>
      </c>
      <c r="F27" s="99"/>
      <c r="G27" s="102" t="s">
        <v>38</v>
      </c>
      <c r="H27" s="103"/>
      <c r="I27" s="135"/>
      <c r="J27" s="135"/>
    </row>
    <row r="28" spans="3:15" ht="21" customHeight="1" x14ac:dyDescent="0.25">
      <c r="C28" s="95"/>
      <c r="D28" s="97"/>
      <c r="E28" s="44" t="s">
        <v>13</v>
      </c>
      <c r="F28" s="66" t="s">
        <v>14</v>
      </c>
      <c r="G28" s="45" t="s">
        <v>13</v>
      </c>
      <c r="H28" s="67" t="s">
        <v>14</v>
      </c>
      <c r="I28" s="136"/>
      <c r="J28" s="136"/>
    </row>
    <row r="29" spans="3:15" ht="33" customHeight="1" x14ac:dyDescent="0.25">
      <c r="C29" s="50" t="s">
        <v>8</v>
      </c>
      <c r="D29" s="101" t="s">
        <v>28</v>
      </c>
      <c r="E29" s="58">
        <f>E22-E15</f>
        <v>-46.115728959999956</v>
      </c>
      <c r="F29" s="68">
        <f>E22/E15-100%</f>
        <v>-6.0609799698780331E-2</v>
      </c>
      <c r="G29" s="59">
        <f>G22-G15</f>
        <v>-56.722346620799954</v>
      </c>
      <c r="H29" s="70">
        <f>G22/G15-100%</f>
        <v>-6.0609799698780331E-2</v>
      </c>
      <c r="I29" s="78"/>
      <c r="J29" s="79"/>
    </row>
    <row r="30" spans="3:15" ht="33" customHeight="1" x14ac:dyDescent="0.25">
      <c r="C30" s="50" t="s">
        <v>9</v>
      </c>
      <c r="D30" s="101"/>
      <c r="E30" s="58">
        <f>E23-E16</f>
        <v>-3.8429774133333297</v>
      </c>
      <c r="F30" s="68">
        <f>E23/E16-100%</f>
        <v>-6.0609799698780331E-2</v>
      </c>
      <c r="G30" s="59">
        <f>G23-G16</f>
        <v>-5.3224845996000028</v>
      </c>
      <c r="H30" s="70">
        <f>G23/G16-100%</f>
        <v>-6.8247118400416418E-2</v>
      </c>
      <c r="I30" s="78"/>
      <c r="J30" s="79"/>
    </row>
    <row r="31" spans="3:15" ht="33" customHeight="1" thickBot="1" x14ac:dyDescent="0.3">
      <c r="C31" s="56" t="s">
        <v>11</v>
      </c>
      <c r="D31" s="57" t="s">
        <v>10</v>
      </c>
      <c r="E31" s="60">
        <f>E24-E17</f>
        <v>-203.21535</v>
      </c>
      <c r="F31" s="69">
        <f>E24/E17-100%</f>
        <v>-0.47434710131505842</v>
      </c>
      <c r="G31" s="61">
        <f>G24-G17</f>
        <v>-249.9548805</v>
      </c>
      <c r="H31" s="71">
        <f>G24/G17-100%</f>
        <v>-0.47434710131505842</v>
      </c>
      <c r="I31" s="78"/>
      <c r="J31" s="79"/>
    </row>
    <row r="32" spans="3:15" ht="21" customHeight="1" thickTop="1" x14ac:dyDescent="0.25">
      <c r="C32" s="17"/>
      <c r="D32" s="46"/>
      <c r="E32" s="47"/>
      <c r="F32" s="48"/>
      <c r="G32" s="48"/>
      <c r="H32" s="48"/>
      <c r="I32" s="72"/>
      <c r="J32" s="12"/>
    </row>
    <row r="33" spans="3:16" x14ac:dyDescent="0.25">
      <c r="I33" s="41"/>
    </row>
    <row r="34" spans="3:16" ht="174" customHeight="1" x14ac:dyDescent="0.25">
      <c r="C34" s="91" t="s">
        <v>29</v>
      </c>
      <c r="D34" s="92"/>
      <c r="E34" s="92"/>
      <c r="F34" s="92"/>
      <c r="G34" s="92"/>
      <c r="H34" s="92"/>
      <c r="I34" s="92"/>
      <c r="J34" s="92"/>
    </row>
    <row r="36" spans="3:16" x14ac:dyDescent="0.25">
      <c r="D36" s="93" t="s">
        <v>40</v>
      </c>
      <c r="E36" s="93"/>
      <c r="F36" s="93"/>
      <c r="G36" s="93"/>
      <c r="H36" s="93"/>
      <c r="I36" s="93"/>
      <c r="J36" s="93"/>
      <c r="K36" s="93"/>
      <c r="L36" s="93"/>
    </row>
    <row r="38" spans="3:16" x14ac:dyDescent="0.25">
      <c r="D38" s="19" t="s">
        <v>15</v>
      </c>
      <c r="E38" s="19" t="s">
        <v>16</v>
      </c>
      <c r="F38" s="20" t="s">
        <v>4</v>
      </c>
      <c r="G38" s="20" t="s">
        <v>17</v>
      </c>
      <c r="H38" s="20" t="s">
        <v>18</v>
      </c>
      <c r="I38" s="19" t="s">
        <v>19</v>
      </c>
      <c r="J38" s="20" t="s">
        <v>20</v>
      </c>
      <c r="K38" s="20" t="s">
        <v>21</v>
      </c>
      <c r="L38" s="20" t="s">
        <v>22</v>
      </c>
      <c r="M38" s="20" t="s">
        <v>23</v>
      </c>
      <c r="N38" s="20" t="s">
        <v>24</v>
      </c>
      <c r="O38" s="20" t="s">
        <v>25</v>
      </c>
    </row>
    <row r="39" spans="3:16" x14ac:dyDescent="0.25">
      <c r="D39" s="21" t="s">
        <v>26</v>
      </c>
      <c r="E39" s="22" t="s">
        <v>11</v>
      </c>
      <c r="F39" s="23">
        <f>118.91+32.02</f>
        <v>150.93</v>
      </c>
      <c r="G39" s="23">
        <f>118.91+18.97</f>
        <v>137.88</v>
      </c>
      <c r="H39" s="23">
        <f>118.91+29.04</f>
        <v>147.94999999999999</v>
      </c>
      <c r="I39" s="23">
        <f>83.01+24.97</f>
        <v>107.98</v>
      </c>
      <c r="J39" s="23">
        <f>83.01+15.95</f>
        <v>98.960000000000008</v>
      </c>
      <c r="K39" s="23">
        <f>83.01+21.62</f>
        <v>104.63000000000001</v>
      </c>
      <c r="L39" s="23">
        <f>84.14+25.7</f>
        <v>109.84</v>
      </c>
      <c r="M39" s="23">
        <f>84.14+16.42</f>
        <v>100.56</v>
      </c>
      <c r="N39" s="23">
        <f>84.14+21.69</f>
        <v>105.83</v>
      </c>
      <c r="O39" s="23">
        <v>237.09</v>
      </c>
    </row>
    <row r="40" spans="3:16" x14ac:dyDescent="0.25">
      <c r="D40" s="24" t="s">
        <v>27</v>
      </c>
      <c r="E40" s="22" t="s">
        <v>30</v>
      </c>
      <c r="F40" s="25">
        <f>147177.56+35427.49</f>
        <v>182605.05</v>
      </c>
      <c r="G40" s="25">
        <f>147177.56+20333.94</f>
        <v>167511.5</v>
      </c>
      <c r="H40" s="25">
        <f>147177.56+25616.57</f>
        <v>172794.13</v>
      </c>
      <c r="I40" s="26">
        <f>168995.36+50147.09</f>
        <v>219142.44999999998</v>
      </c>
      <c r="J40" s="27">
        <f>168995.36+29103.64</f>
        <v>198099</v>
      </c>
      <c r="K40" s="27">
        <f>168995.36+35703.27</f>
        <v>204698.62999999998</v>
      </c>
      <c r="L40" s="27">
        <f>177302.69+52950.68</f>
        <v>230253.37</v>
      </c>
      <c r="M40" s="27">
        <f>177302.69+27553.92</f>
        <v>204856.61</v>
      </c>
      <c r="N40" s="27">
        <f>177302.69+32847.38</f>
        <v>210150.07</v>
      </c>
      <c r="O40" s="27">
        <f>6075.71*12</f>
        <v>72908.52</v>
      </c>
    </row>
    <row r="41" spans="3:16" x14ac:dyDescent="0.25">
      <c r="F41" s="34"/>
      <c r="G41" s="34"/>
      <c r="H41" s="34"/>
      <c r="I41" s="35"/>
      <c r="J41" s="36"/>
      <c r="K41" s="35"/>
      <c r="L41" s="37"/>
      <c r="M41" s="35"/>
      <c r="N41" s="37"/>
      <c r="O41" s="35"/>
    </row>
    <row r="42" spans="3:16" x14ac:dyDescent="0.25">
      <c r="F42" s="34"/>
      <c r="G42" s="34"/>
      <c r="H42" s="34"/>
      <c r="I42" s="35"/>
      <c r="J42" s="36"/>
      <c r="K42" s="35"/>
      <c r="L42" s="37"/>
      <c r="M42" s="35"/>
      <c r="N42" s="37"/>
      <c r="O42" s="35"/>
    </row>
    <row r="43" spans="3:16" x14ac:dyDescent="0.25">
      <c r="D43" s="93" t="s">
        <v>39</v>
      </c>
      <c r="E43" s="93"/>
      <c r="F43" s="93"/>
      <c r="G43" s="93"/>
      <c r="H43" s="93"/>
      <c r="I43" s="93"/>
      <c r="J43" s="93"/>
      <c r="K43" s="93"/>
      <c r="L43" s="93"/>
    </row>
    <row r="45" spans="3:16" x14ac:dyDescent="0.25">
      <c r="D45" s="19" t="s">
        <v>15</v>
      </c>
      <c r="E45" s="19" t="s">
        <v>16</v>
      </c>
      <c r="F45" s="20" t="s">
        <v>4</v>
      </c>
      <c r="G45" s="20" t="s">
        <v>17</v>
      </c>
      <c r="H45" s="20" t="s">
        <v>18</v>
      </c>
      <c r="I45" s="19" t="s">
        <v>19</v>
      </c>
      <c r="J45" s="20" t="s">
        <v>20</v>
      </c>
      <c r="K45" s="20" t="s">
        <v>21</v>
      </c>
      <c r="L45" s="20" t="s">
        <v>22</v>
      </c>
      <c r="M45" s="20" t="s">
        <v>23</v>
      </c>
      <c r="N45" s="20" t="s">
        <v>24</v>
      </c>
      <c r="O45" s="20" t="s">
        <v>25</v>
      </c>
    </row>
    <row r="46" spans="3:16" x14ac:dyDescent="0.25">
      <c r="D46" s="21" t="s">
        <v>26</v>
      </c>
      <c r="E46" s="22" t="s">
        <v>11</v>
      </c>
      <c r="F46" s="23">
        <f>73.32+24.35</f>
        <v>97.669999999999987</v>
      </c>
      <c r="G46" s="23">
        <f>73.32+13.05</f>
        <v>86.36999999999999</v>
      </c>
      <c r="H46" s="23">
        <f>73.32+21.61</f>
        <v>94.929999999999993</v>
      </c>
      <c r="I46" s="23">
        <f>37.58+19.18</f>
        <v>56.76</v>
      </c>
      <c r="J46" s="23">
        <f>37.58+10.73</f>
        <v>48.31</v>
      </c>
      <c r="K46" s="23">
        <f>37.58+15.78</f>
        <v>53.36</v>
      </c>
      <c r="L46" s="23">
        <f>36.97+19.51</f>
        <v>56.480000000000004</v>
      </c>
      <c r="M46" s="23">
        <f>36.97+9.96</f>
        <v>46.93</v>
      </c>
      <c r="N46" s="23">
        <f>36.97+14.41</f>
        <v>51.379999999999995</v>
      </c>
      <c r="O46" s="23">
        <v>143.41999999999999</v>
      </c>
    </row>
    <row r="47" spans="3:16" x14ac:dyDescent="0.25">
      <c r="D47" s="24" t="s">
        <v>27</v>
      </c>
      <c r="E47" s="22" t="s">
        <v>30</v>
      </c>
      <c r="F47" s="25">
        <f>145030.5+31055.94</f>
        <v>176086.44</v>
      </c>
      <c r="G47" s="25">
        <f>145030.5+15950.66</f>
        <v>160981.16</v>
      </c>
      <c r="H47" s="25">
        <f>145030.5+21937.64</f>
        <v>166968.14000000001</v>
      </c>
      <c r="I47" s="26">
        <f>167659.41+38200.86</f>
        <v>205860.27000000002</v>
      </c>
      <c r="J47" s="27">
        <f>167659.41+19141.52</f>
        <v>186800.93</v>
      </c>
      <c r="K47" s="27">
        <f>167659.41+25741.15</f>
        <v>193400.56</v>
      </c>
      <c r="L47" s="27">
        <f>176326.17+42014.33</f>
        <v>218340.5</v>
      </c>
      <c r="M47" s="27">
        <f>176326.17+17119.78</f>
        <v>193445.95</v>
      </c>
      <c r="N47" s="27">
        <f>176326.17+22624.98</f>
        <v>198951.15000000002</v>
      </c>
      <c r="O47" s="27">
        <v>44105.08</v>
      </c>
    </row>
    <row r="48" spans="3:16" ht="20.100000000000001" customHeight="1" x14ac:dyDescent="0.25">
      <c r="F48" s="81"/>
      <c r="G48" s="81"/>
      <c r="H48" s="81"/>
      <c r="I48" s="82"/>
      <c r="J48" s="82"/>
      <c r="K48" s="82"/>
      <c r="L48" s="82"/>
      <c r="M48" s="82"/>
      <c r="N48" s="82"/>
      <c r="O48" s="82"/>
      <c r="P48" s="83"/>
    </row>
    <row r="49" spans="6:32" ht="20.100000000000001" customHeight="1" x14ac:dyDescent="0.25">
      <c r="F49" s="84"/>
      <c r="G49" s="84"/>
      <c r="H49" s="84"/>
      <c r="I49" s="82"/>
      <c r="J49" s="82"/>
      <c r="K49" s="82"/>
      <c r="L49" s="82"/>
      <c r="M49" s="82"/>
      <c r="N49" s="82"/>
      <c r="O49" s="82"/>
      <c r="P49" s="83"/>
    </row>
    <row r="50" spans="6:32" ht="18.75" customHeight="1" x14ac:dyDescent="0.25">
      <c r="F50" s="38"/>
      <c r="G50" s="38"/>
      <c r="H50" s="38"/>
      <c r="I50" s="33"/>
      <c r="J50" s="39"/>
      <c r="K50" s="33"/>
      <c r="L50" s="40"/>
      <c r="M50" s="33"/>
      <c r="N50" s="40"/>
      <c r="O50" s="33"/>
      <c r="P50" s="33"/>
    </row>
    <row r="51" spans="6:32" ht="18.75" customHeight="1" x14ac:dyDescent="0.25"/>
    <row r="52" spans="6:32" ht="18.75" customHeight="1" x14ac:dyDescent="0.25"/>
    <row r="53" spans="6:32" ht="18.75" customHeight="1" x14ac:dyDescent="0.25">
      <c r="F53" s="28"/>
      <c r="G53" s="28"/>
      <c r="H53" s="28"/>
      <c r="I53" s="29"/>
      <c r="J53" s="30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</row>
    <row r="54" spans="6:32" ht="18.75" customHeight="1" x14ac:dyDescent="0.25">
      <c r="F54" s="28"/>
      <c r="G54" s="28"/>
      <c r="H54" s="28"/>
      <c r="I54" s="29"/>
      <c r="J54" s="30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</row>
    <row r="55" spans="6:32" ht="18.75" customHeight="1" x14ac:dyDescent="0.25">
      <c r="F55" s="28"/>
      <c r="G55" s="28"/>
      <c r="H55" s="28"/>
      <c r="I55" s="29"/>
      <c r="J55" s="30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</row>
    <row r="56" spans="6:32" ht="18.75" customHeight="1" x14ac:dyDescent="0.25">
      <c r="F56" s="28"/>
      <c r="G56" s="28"/>
      <c r="H56" s="28"/>
      <c r="I56" s="29"/>
      <c r="J56" s="30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</row>
    <row r="57" spans="6:32" ht="18.75" customHeight="1" x14ac:dyDescent="0.25">
      <c r="F57" s="28"/>
      <c r="G57" s="28"/>
      <c r="H57" s="28"/>
      <c r="I57" s="29"/>
      <c r="J57" s="30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</row>
    <row r="58" spans="6:32" ht="18.75" customHeight="1" x14ac:dyDescent="0.25">
      <c r="F58" s="28"/>
      <c r="G58" s="28"/>
      <c r="H58" s="28"/>
      <c r="I58" s="29"/>
      <c r="J58" s="30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</row>
    <row r="59" spans="6:32" ht="18.75" customHeight="1" x14ac:dyDescent="0.25">
      <c r="F59" s="28"/>
      <c r="G59" s="28"/>
      <c r="H59" s="28"/>
      <c r="I59" s="29"/>
      <c r="J59" s="30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</row>
    <row r="60" spans="6:32" ht="18.75" customHeight="1" x14ac:dyDescent="0.25">
      <c r="F60" s="28"/>
      <c r="G60" s="28"/>
      <c r="H60" s="28"/>
      <c r="I60" s="29"/>
      <c r="J60" s="30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</row>
    <row r="61" spans="6:32" ht="18.75" customHeight="1" x14ac:dyDescent="0.25">
      <c r="F61" s="28"/>
      <c r="G61" s="28"/>
      <c r="H61" s="28"/>
      <c r="I61" s="29"/>
      <c r="J61" s="30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</row>
    <row r="62" spans="6:32" ht="18.75" customHeight="1" x14ac:dyDescent="0.25">
      <c r="F62" s="28"/>
      <c r="G62" s="28"/>
      <c r="H62" s="28"/>
      <c r="I62" s="29"/>
      <c r="J62" s="30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</row>
    <row r="63" spans="6:32" ht="18.75" customHeight="1" x14ac:dyDescent="0.25">
      <c r="F63" s="28"/>
      <c r="G63" s="28"/>
      <c r="H63" s="28"/>
      <c r="I63" s="29"/>
      <c r="J63" s="30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</row>
    <row r="64" spans="6:32" ht="18.75" customHeight="1" x14ac:dyDescent="0.25">
      <c r="F64" s="28"/>
      <c r="G64" s="28"/>
      <c r="H64" s="28"/>
      <c r="I64" s="29"/>
      <c r="J64" s="30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</row>
    <row r="65" spans="6:32" ht="18.75" customHeight="1" x14ac:dyDescent="0.25">
      <c r="F65" s="28"/>
      <c r="G65" s="28"/>
      <c r="H65" s="28"/>
      <c r="I65" s="29"/>
      <c r="J65" s="30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</row>
    <row r="66" spans="6:32" ht="18.75" customHeight="1" x14ac:dyDescent="0.25">
      <c r="F66" s="28"/>
      <c r="G66" s="28"/>
      <c r="H66" s="28"/>
      <c r="I66" s="29"/>
      <c r="J66" s="30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</row>
    <row r="67" spans="6:32" ht="18.75" customHeight="1" x14ac:dyDescent="0.25">
      <c r="F67" s="28"/>
      <c r="G67" s="28"/>
      <c r="H67" s="28"/>
      <c r="I67" s="29"/>
      <c r="J67" s="30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</row>
    <row r="68" spans="6:32" ht="18.75" customHeight="1" x14ac:dyDescent="0.25">
      <c r="F68" s="28"/>
      <c r="G68" s="28"/>
      <c r="H68" s="28"/>
      <c r="I68" s="29"/>
      <c r="J68" s="30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</row>
    <row r="69" spans="6:32" ht="18.75" customHeight="1" x14ac:dyDescent="0.25">
      <c r="F69" s="28"/>
      <c r="G69" s="28"/>
      <c r="H69" s="28"/>
      <c r="I69" s="29"/>
      <c r="J69" s="30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</row>
    <row r="70" spans="6:32" ht="18.75" customHeight="1" x14ac:dyDescent="0.25">
      <c r="F70" s="28"/>
      <c r="G70" s="28"/>
      <c r="H70" s="28"/>
      <c r="I70" s="29"/>
      <c r="J70" s="30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</row>
    <row r="71" spans="6:32" ht="18.75" customHeight="1" x14ac:dyDescent="0.25">
      <c r="F71" s="28"/>
      <c r="G71" s="28"/>
      <c r="H71" s="28"/>
      <c r="I71" s="29"/>
      <c r="J71" s="30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</row>
    <row r="72" spans="6:32" ht="18.75" customHeight="1" x14ac:dyDescent="0.25">
      <c r="F72" s="28"/>
      <c r="G72" s="28"/>
      <c r="H72" s="28"/>
      <c r="I72" s="29"/>
      <c r="J72" s="30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</row>
    <row r="73" spans="6:32" ht="18.75" customHeight="1" x14ac:dyDescent="0.25">
      <c r="F73" s="28"/>
      <c r="G73" s="28"/>
      <c r="H73" s="28"/>
      <c r="I73" s="29"/>
      <c r="J73" s="30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</row>
    <row r="74" spans="6:32" ht="18.75" customHeight="1" x14ac:dyDescent="0.25">
      <c r="F74" s="28"/>
      <c r="G74" s="28"/>
      <c r="H74" s="28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</row>
    <row r="75" spans="6:32" ht="18.75" customHeight="1" x14ac:dyDescent="0.25">
      <c r="F75" s="28"/>
      <c r="G75" s="28"/>
      <c r="H75" s="28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</row>
    <row r="76" spans="6:32" ht="18.75" customHeight="1" x14ac:dyDescent="0.25">
      <c r="F76" s="28"/>
      <c r="G76" s="28"/>
      <c r="H76" s="28"/>
      <c r="I76" s="29"/>
      <c r="J76" s="30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</row>
    <row r="77" spans="6:32" ht="18.75" customHeight="1" x14ac:dyDescent="0.25">
      <c r="F77" s="28"/>
      <c r="G77" s="28"/>
      <c r="H77" s="28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</row>
    <row r="78" spans="6:32" ht="18.75" customHeight="1" x14ac:dyDescent="0.25">
      <c r="F78" s="28"/>
      <c r="G78" s="28"/>
      <c r="H78" s="28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</row>
    <row r="79" spans="6:32" ht="18.75" customHeight="1" x14ac:dyDescent="0.25">
      <c r="F79" s="28"/>
      <c r="G79" s="28"/>
      <c r="H79" s="28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</row>
    <row r="80" spans="6:32" ht="18.75" customHeight="1" x14ac:dyDescent="0.25">
      <c r="F80" s="28"/>
      <c r="G80" s="28"/>
      <c r="H80" s="28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</row>
    <row r="81" spans="6:32" ht="18.75" customHeight="1" x14ac:dyDescent="0.25">
      <c r="F81" s="28"/>
      <c r="G81" s="28"/>
      <c r="H81" s="28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</row>
    <row r="82" spans="6:32" ht="18.75" customHeight="1" x14ac:dyDescent="0.25">
      <c r="F82" s="28"/>
      <c r="G82" s="28"/>
      <c r="H82" s="28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</row>
    <row r="83" spans="6:32" ht="18.75" customHeight="1" x14ac:dyDescent="0.25">
      <c r="F83" s="28"/>
      <c r="G83" s="28"/>
      <c r="H83" s="28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</row>
    <row r="84" spans="6:32" ht="18.75" customHeight="1" x14ac:dyDescent="0.25">
      <c r="F84" s="28"/>
      <c r="G84" s="28"/>
      <c r="H84" s="28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</row>
    <row r="85" spans="6:32" ht="18.75" customHeight="1" x14ac:dyDescent="0.25"/>
    <row r="86" spans="6:32" ht="18.75" customHeight="1" x14ac:dyDescent="0.25"/>
    <row r="87" spans="6:32" ht="18.75" customHeight="1" x14ac:dyDescent="0.25"/>
    <row r="88" spans="6:32" ht="18.75" customHeight="1" x14ac:dyDescent="0.25"/>
    <row r="89" spans="6:32" ht="18.75" customHeight="1" x14ac:dyDescent="0.25"/>
    <row r="90" spans="6:32" ht="18.75" customHeight="1" x14ac:dyDescent="0.25"/>
    <row r="91" spans="6:32" ht="18.75" customHeight="1" x14ac:dyDescent="0.25"/>
    <row r="92" spans="6:32" ht="18.75" customHeight="1" x14ac:dyDescent="0.25"/>
    <row r="93" spans="6:32" ht="18.75" customHeight="1" x14ac:dyDescent="0.25"/>
    <row r="94" spans="6:32" ht="18.75" customHeight="1" x14ac:dyDescent="0.25"/>
    <row r="95" spans="6:32" ht="18.75" customHeight="1" x14ac:dyDescent="0.25"/>
    <row r="96" spans="6:32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  <row r="556" ht="18.75" customHeight="1" x14ac:dyDescent="0.25"/>
    <row r="557" ht="18.75" customHeight="1" x14ac:dyDescent="0.25"/>
    <row r="558" ht="18.75" customHeight="1" x14ac:dyDescent="0.25"/>
    <row r="559" ht="18.75" customHeight="1" x14ac:dyDescent="0.25"/>
    <row r="560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  <row r="698" ht="18.75" customHeight="1" x14ac:dyDescent="0.25"/>
    <row r="699" ht="18.75" customHeight="1" x14ac:dyDescent="0.25"/>
    <row r="700" ht="18.75" customHeight="1" x14ac:dyDescent="0.25"/>
    <row r="701" ht="18.75" customHeight="1" x14ac:dyDescent="0.25"/>
    <row r="702" ht="18.75" customHeight="1" x14ac:dyDescent="0.25"/>
    <row r="703" ht="18.75" customHeight="1" x14ac:dyDescent="0.25"/>
    <row r="704" ht="18.75" customHeight="1" x14ac:dyDescent="0.25"/>
  </sheetData>
  <mergeCells count="20">
    <mergeCell ref="I20:J20"/>
    <mergeCell ref="C13:G13"/>
    <mergeCell ref="C20:G20"/>
    <mergeCell ref="D43:L43"/>
    <mergeCell ref="C22:C23"/>
    <mergeCell ref="D22:D23"/>
    <mergeCell ref="C34:J34"/>
    <mergeCell ref="D36:L36"/>
    <mergeCell ref="D29:D30"/>
    <mergeCell ref="E27:F27"/>
    <mergeCell ref="G27:H27"/>
    <mergeCell ref="D27:D28"/>
    <mergeCell ref="C27:C28"/>
    <mergeCell ref="I27:J27"/>
    <mergeCell ref="C2:J2"/>
    <mergeCell ref="C4:J4"/>
    <mergeCell ref="C6:F6"/>
    <mergeCell ref="C15:C16"/>
    <mergeCell ref="D15:D16"/>
    <mergeCell ref="I13:J13"/>
  </mergeCells>
  <dataValidations count="1">
    <dataValidation type="list" allowBlank="1" showInputMessage="1" showErrorMessage="1" sqref="E8" xr:uid="{00000000-0002-0000-0000-000000000000}">
      <formula1>$F$38:$O$38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4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kalkulator opłat_ceny z rekomp.</vt:lpstr>
      <vt:lpstr>kalkulator opłat_ceny Taryfowe</vt:lpstr>
      <vt:lpstr>'kalkulator opłat_ceny Taryfowe'!gt</vt:lpstr>
      <vt:lpstr>'kalkulator opłat_ceny z rekomp.'!gt</vt:lpstr>
      <vt:lpstr>'kalkulator opłat_ceny Taryfowe'!gw</vt:lpstr>
      <vt:lpstr>'kalkulator opłat_ceny z rekomp.'!gw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2023-06-19T07:39:51Z</cp:lastPrinted>
  <dcterms:created xsi:type="dcterms:W3CDTF">2018-12-18T10:31:41Z</dcterms:created>
  <dcterms:modified xsi:type="dcterms:W3CDTF">2023-06-21T07:49:28Z</dcterms:modified>
</cp:coreProperties>
</file>